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1"/>
  </bookViews>
  <sheets>
    <sheet name="MEO FTE-CME Totals" sheetId="1" r:id="rId1"/>
    <sheet name="Atlanta MEO FTE's" sheetId="2" r:id="rId2"/>
    <sheet name="Baltimore MEO FTE's" sheetId="3" r:id="rId3"/>
    <sheet name="Boston-New York MEO FTE's" sheetId="4" r:id="rId4"/>
    <sheet name="MEO Buffalo-Philadelphia FTEs" sheetId="5" r:id="rId5"/>
    <sheet name="MEO Chicago-Columbus FTEs" sheetId="6" r:id="rId6"/>
    <sheet name="MEO Detroit Minn-Denver FTE" sheetId="7" r:id="rId7"/>
    <sheet name="MEO Seattle-San Fran-LA FTEs" sheetId="8" r:id="rId8"/>
    <sheet name="MEO Kansas City-Ft. Worth FTEs" sheetId="9" r:id="rId9"/>
  </sheets>
  <definedNames>
    <definedName name="_xlnm.Print_Area" localSheetId="1">'Atlanta MEO FTE''s'!$A$1:$U$27</definedName>
    <definedName name="_xlnm.Print_Area" localSheetId="2">'Baltimore MEO FTE''s'!$A$1:$T$28</definedName>
    <definedName name="_xlnm.Print_Area" localSheetId="3">'Boston-New York MEO FTE''s'!$A$1:$T$27</definedName>
    <definedName name="_xlnm.Print_Area" localSheetId="4">'MEO Buffalo-Philadelphia FTEs'!$A$1:$T$26</definedName>
    <definedName name="_xlnm.Print_Area" localSheetId="5">'MEO Chicago-Columbus FTEs'!$A$1:$T$27</definedName>
    <definedName name="_xlnm.Print_Area" localSheetId="6">'MEO Detroit Minn-Denver FTE'!$A$1:$T$27</definedName>
    <definedName name="_xlnm.Print_Area" localSheetId="0">'MEO FTE-CME Totals'!$A$1:$U$27</definedName>
    <definedName name="_xlnm.Print_Area" localSheetId="8">'MEO Kansas City-Ft. Worth FTEs'!$A$1:$T$27</definedName>
    <definedName name="_xlnm.Print_Area" localSheetId="7">'MEO Seattle-San Fran-LA FTEs'!$A$1:$T$27</definedName>
    <definedName name="_xlnm.Print_Titles" localSheetId="1">'Atlanta MEO FTE''s'!$1:$2</definedName>
    <definedName name="_xlnm.Print_Titles" localSheetId="2">'Baltimore MEO FTE''s'!$1:$2</definedName>
    <definedName name="_xlnm.Print_Titles" localSheetId="0">'MEO FTE-CME Totals'!$1:$2</definedName>
  </definedNames>
  <calcPr fullCalcOnLoad="1"/>
</workbook>
</file>

<file path=xl/sharedStrings.xml><?xml version="1.0" encoding="utf-8"?>
<sst xmlns="http://schemas.openxmlformats.org/spreadsheetml/2006/main" count="1098" uniqueCount="39">
  <si>
    <t>HUD Solicitation No. R-OPC-22640 - A-76 Competitive Sourcing- 
Administer Non-Section 8 Rental Housing Assistance Contracts and Assisted Properties</t>
  </si>
  <si>
    <t>CLIN No. 0001
Phase-In</t>
  </si>
  <si>
    <t>CLIN No.
0002
Base Period
Year One</t>
  </si>
  <si>
    <t>CLIN No. 
0004
Base Period
Year Three</t>
  </si>
  <si>
    <t>CLIN No. 
0105
Option Year 1</t>
  </si>
  <si>
    <t>CLIN No. 
0206
Option Year 2</t>
  </si>
  <si>
    <t>CLIN No.
0003
Base Period
Year Two</t>
  </si>
  <si>
    <t>MEO</t>
  </si>
  <si>
    <t>GS-14</t>
  </si>
  <si>
    <t>GS-13/14</t>
  </si>
  <si>
    <t>GS-12/13</t>
  </si>
  <si>
    <t>GS-11</t>
  </si>
  <si>
    <t>GS-09</t>
  </si>
  <si>
    <t>GS-07</t>
  </si>
  <si>
    <t>GS-06</t>
  </si>
  <si>
    <t>GS-13</t>
  </si>
  <si>
    <t>GS-12</t>
  </si>
  <si>
    <t>Director's Office</t>
  </si>
  <si>
    <t>Financial Processing</t>
  </si>
  <si>
    <t>Total FTE's</t>
  </si>
  <si>
    <t>CLIN No. 0001 
Phase-In</t>
  </si>
  <si>
    <t>Directors Office</t>
  </si>
  <si>
    <t>*MEO costs per FTE include inflation rates as per COMPARE and the Circular.</t>
  </si>
  <si>
    <t>MEO Total FTE's</t>
  </si>
  <si>
    <t>Contract Manpower Equivalent (CME)</t>
  </si>
  <si>
    <t>Total FTE/CME</t>
  </si>
  <si>
    <t>Cost*</t>
  </si>
  <si>
    <t>FTE/CME TOTALS - ALL GEOGRAPHIC AREAS</t>
  </si>
  <si>
    <t>Total for
All Periods</t>
  </si>
  <si>
    <t>Prog. Compliance/Monitoring</t>
  </si>
  <si>
    <t>Program Compliance/Monitoring</t>
  </si>
  <si>
    <t>Chicago-Columbus (Indianapolis, IN)</t>
  </si>
  <si>
    <t>Baltimore - Greensboro (Greensboro, NC)</t>
  </si>
  <si>
    <t>Boston-New York (Providence, RI)</t>
  </si>
  <si>
    <t>Buffalo-Philadelphia (Indianapolis, IN)</t>
  </si>
  <si>
    <t>Detroit - Minneapolis - Denver (Grand Rapids, MI)</t>
  </si>
  <si>
    <t>Seattle-San Francisco-Los Angeles (Phoenix, AZ)</t>
  </si>
  <si>
    <t>Kansas City-Fort Worth (Little Rock, AR)</t>
  </si>
  <si>
    <t>Atlanta - Jacksonville (Birmingham, AL)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</si>
</sst>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00"/>
    <numFmt numFmtId="167" formatCode="0.000"/>
  </numFmts>
  <fonts count="1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165" fontId="6" fillId="0" borderId="2" xfId="0" applyNumberFormat="1" applyFont="1" applyFill="1" applyBorder="1" applyAlignment="1">
      <alignment horizontal="center" wrapText="1"/>
    </xf>
    <xf numFmtId="165" fontId="6" fillId="0" borderId="3" xfId="0" applyNumberFormat="1" applyFont="1" applyFill="1" applyBorder="1" applyAlignment="1">
      <alignment horizontal="center" wrapText="1"/>
    </xf>
    <xf numFmtId="165" fontId="6" fillId="0" borderId="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5" fontId="7" fillId="0" borderId="0" xfId="0" applyNumberFormat="1" applyFont="1" applyFill="1" applyAlignment="1">
      <alignment horizontal="center"/>
    </xf>
    <xf numFmtId="165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7" fillId="0" borderId="5" xfId="0" applyFont="1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/>
    </xf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6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49" fontId="6" fillId="0" borderId="5" xfId="0" applyNumberFormat="1" applyFont="1" applyFill="1" applyBorder="1" applyAlignment="1">
      <alignment/>
    </xf>
    <xf numFmtId="165" fontId="6" fillId="0" borderId="7" xfId="0" applyNumberFormat="1" applyFont="1" applyFill="1" applyBorder="1" applyAlignment="1">
      <alignment horizontal="center" wrapText="1"/>
    </xf>
    <xf numFmtId="165" fontId="6" fillId="0" borderId="8" xfId="0" applyNumberFormat="1" applyFont="1" applyFill="1" applyBorder="1" applyAlignment="1">
      <alignment horizontal="center" wrapText="1"/>
    </xf>
    <xf numFmtId="165" fontId="6" fillId="0" borderId="9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67" fontId="6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7" fontId="7" fillId="0" borderId="6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/>
    </xf>
    <xf numFmtId="0" fontId="6" fillId="0" borderId="12" xfId="0" applyFont="1" applyBorder="1" applyAlignment="1">
      <alignment/>
    </xf>
    <xf numFmtId="165" fontId="6" fillId="0" borderId="13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43" fontId="7" fillId="0" borderId="0" xfId="0" applyNumberFormat="1" applyFont="1" applyBorder="1" applyAlignment="1">
      <alignment/>
    </xf>
    <xf numFmtId="43" fontId="6" fillId="0" borderId="0" xfId="0" applyNumberFormat="1" applyFont="1" applyBorder="1" applyAlignment="1">
      <alignment/>
    </xf>
    <xf numFmtId="43" fontId="7" fillId="0" borderId="15" xfId="0" applyNumberFormat="1" applyFont="1" applyBorder="1" applyAlignment="1">
      <alignment/>
    </xf>
    <xf numFmtId="43" fontId="6" fillId="0" borderId="15" xfId="0" applyNumberFormat="1" applyFont="1" applyBorder="1" applyAlignment="1">
      <alignment/>
    </xf>
    <xf numFmtId="167" fontId="6" fillId="0" borderId="13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43" fontId="6" fillId="0" borderId="1" xfId="0" applyNumberFormat="1" applyFont="1" applyBorder="1" applyAlignment="1">
      <alignment/>
    </xf>
    <xf numFmtId="43" fontId="6" fillId="0" borderId="16" xfId="0" applyNumberFormat="1" applyFont="1" applyBorder="1" applyAlignment="1">
      <alignment/>
    </xf>
    <xf numFmtId="0" fontId="9" fillId="0" borderId="17" xfId="0" applyFont="1" applyBorder="1" applyAlignment="1">
      <alignment horizontal="left" wrapText="1"/>
    </xf>
    <xf numFmtId="49" fontId="6" fillId="0" borderId="14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49" fontId="6" fillId="0" borderId="7" xfId="0" applyNumberFormat="1" applyFont="1" applyFill="1" applyBorder="1" applyAlignment="1">
      <alignment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vertical="top"/>
    </xf>
    <xf numFmtId="0" fontId="6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" xfId="0" applyFont="1" applyBorder="1" applyAlignment="1">
      <alignment/>
    </xf>
    <xf numFmtId="167" fontId="6" fillId="2" borderId="6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167" fontId="7" fillId="2" borderId="6" xfId="0" applyNumberFormat="1" applyFont="1" applyFill="1" applyBorder="1" applyAlignment="1">
      <alignment horizontal="center"/>
    </xf>
    <xf numFmtId="0" fontId="7" fillId="2" borderId="0" xfId="0" applyFont="1" applyFill="1" applyAlignment="1">
      <alignment/>
    </xf>
    <xf numFmtId="167" fontId="6" fillId="2" borderId="13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43" fontId="6" fillId="2" borderId="1" xfId="0" applyNumberFormat="1" applyFont="1" applyFill="1" applyBorder="1" applyAlignment="1">
      <alignment/>
    </xf>
    <xf numFmtId="43" fontId="6" fillId="2" borderId="16" xfId="0" applyNumberFormat="1" applyFont="1" applyFill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2" borderId="19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10" fillId="0" borderId="17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167" fontId="7" fillId="0" borderId="13" xfId="0" applyNumberFormat="1" applyFont="1" applyBorder="1" applyAlignment="1">
      <alignment horizontal="center"/>
    </xf>
    <xf numFmtId="43" fontId="7" fillId="0" borderId="1" xfId="0" applyNumberFormat="1" applyFont="1" applyBorder="1" applyAlignment="1">
      <alignment/>
    </xf>
    <xf numFmtId="43" fontId="7" fillId="0" borderId="16" xfId="0" applyNumberFormat="1" applyFont="1" applyBorder="1" applyAlignment="1">
      <alignment/>
    </xf>
    <xf numFmtId="49" fontId="6" fillId="0" borderId="20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/>
    </xf>
    <xf numFmtId="165" fontId="6" fillId="0" borderId="21" xfId="0" applyNumberFormat="1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0" xfId="0" applyFont="1" applyAlignment="1">
      <alignment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9" fillId="2" borderId="19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3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7" fillId="0" borderId="15" xfId="0" applyFont="1" applyBorder="1" applyAlignment="1">
      <alignment horizontal="center" wrapText="1"/>
    </xf>
    <xf numFmtId="4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left" wrapText="1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7" xfId="0" applyFont="1" applyBorder="1" applyAlignment="1">
      <alignment/>
    </xf>
    <xf numFmtId="0" fontId="0" fillId="2" borderId="0" xfId="0" applyFill="1" applyAlignment="1">
      <alignment/>
    </xf>
    <xf numFmtId="0" fontId="0" fillId="2" borderId="19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7" fillId="2" borderId="19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0" borderId="1" xfId="0" applyFont="1" applyBorder="1" applyAlignment="1">
      <alignment horizontal="left"/>
    </xf>
    <xf numFmtId="167" fontId="6" fillId="0" borderId="6" xfId="0" applyNumberFormat="1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/>
    </xf>
    <xf numFmtId="164" fontId="7" fillId="0" borderId="1" xfId="0" applyNumberFormat="1" applyFont="1" applyBorder="1" applyAlignment="1">
      <alignment/>
    </xf>
    <xf numFmtId="167" fontId="12" fillId="0" borderId="0" xfId="0" applyNumberFormat="1" applyFont="1" applyAlignment="1">
      <alignment horizontal="center"/>
    </xf>
    <xf numFmtId="0" fontId="0" fillId="0" borderId="7" xfId="0" applyBorder="1" applyAlignment="1">
      <alignment/>
    </xf>
    <xf numFmtId="164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0" fillId="0" borderId="22" xfId="0" applyBorder="1" applyAlignment="1">
      <alignment/>
    </xf>
    <xf numFmtId="4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2" borderId="6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167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/>
    </xf>
    <xf numFmtId="164" fontId="6" fillId="2" borderId="16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/>
    </xf>
    <xf numFmtId="164" fontId="7" fillId="2" borderId="0" xfId="0" applyNumberFormat="1" applyFont="1" applyFill="1" applyBorder="1" applyAlignment="1">
      <alignment/>
    </xf>
    <xf numFmtId="164" fontId="7" fillId="0" borderId="0" xfId="0" applyNumberFormat="1" applyFont="1" applyAlignment="1">
      <alignment vertical="top"/>
    </xf>
    <xf numFmtId="164" fontId="6" fillId="0" borderId="12" xfId="0" applyNumberFormat="1" applyFont="1" applyBorder="1" applyAlignment="1">
      <alignment horizontal="center" wrapText="1"/>
    </xf>
    <xf numFmtId="164" fontId="6" fillId="2" borderId="25" xfId="0" applyNumberFormat="1" applyFont="1" applyFill="1" applyBorder="1" applyAlignment="1">
      <alignment/>
    </xf>
    <xf numFmtId="164" fontId="6" fillId="0" borderId="26" xfId="0" applyNumberFormat="1" applyFont="1" applyBorder="1" applyAlignment="1">
      <alignment horizontal="center" wrapText="1"/>
    </xf>
    <xf numFmtId="164" fontId="7" fillId="0" borderId="15" xfId="0" applyNumberFormat="1" applyFont="1" applyBorder="1" applyAlignment="1">
      <alignment/>
    </xf>
    <xf numFmtId="164" fontId="7" fillId="0" borderId="16" xfId="0" applyNumberFormat="1" applyFont="1" applyBorder="1" applyAlignment="1">
      <alignment/>
    </xf>
    <xf numFmtId="164" fontId="6" fillId="0" borderId="16" xfId="0" applyNumberFormat="1" applyFont="1" applyBorder="1" applyAlignment="1">
      <alignment/>
    </xf>
    <xf numFmtId="164" fontId="7" fillId="2" borderId="15" xfId="0" applyNumberFormat="1" applyFont="1" applyFill="1" applyBorder="1" applyAlignment="1">
      <alignment/>
    </xf>
    <xf numFmtId="164" fontId="6" fillId="0" borderId="1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164" fontId="6" fillId="0" borderId="27" xfId="0" applyNumberFormat="1" applyFont="1" applyFill="1" applyBorder="1" applyAlignment="1">
      <alignment horizontal="center" wrapText="1"/>
    </xf>
    <xf numFmtId="164" fontId="6" fillId="0" borderId="28" xfId="0" applyNumberFormat="1" applyFont="1" applyFill="1" applyBorder="1" applyAlignment="1">
      <alignment horizontal="center" wrapText="1"/>
    </xf>
    <xf numFmtId="164" fontId="6" fillId="0" borderId="29" xfId="0" applyNumberFormat="1" applyFont="1" applyBorder="1" applyAlignment="1">
      <alignment horizontal="center"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6" fillId="0" borderId="29" xfId="0" applyNumberFormat="1" applyFont="1" applyBorder="1" applyAlignment="1">
      <alignment/>
    </xf>
    <xf numFmtId="164" fontId="6" fillId="0" borderId="30" xfId="0" applyNumberFormat="1" applyFont="1" applyBorder="1" applyAlignment="1">
      <alignment/>
    </xf>
    <xf numFmtId="164" fontId="7" fillId="2" borderId="29" xfId="0" applyNumberFormat="1" applyFont="1" applyFill="1" applyBorder="1" applyAlignment="1">
      <alignment/>
    </xf>
    <xf numFmtId="164" fontId="6" fillId="2" borderId="3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164" fontId="7" fillId="0" borderId="15" xfId="0" applyNumberFormat="1" applyFont="1" applyBorder="1" applyAlignment="1">
      <alignment horizontal="center" wrapText="1"/>
    </xf>
    <xf numFmtId="164" fontId="0" fillId="0" borderId="15" xfId="0" applyNumberFormat="1" applyBorder="1" applyAlignment="1">
      <alignment/>
    </xf>
    <xf numFmtId="164" fontId="7" fillId="0" borderId="15" xfId="0" applyNumberFormat="1" applyFont="1" applyBorder="1" applyAlignment="1">
      <alignment horizontal="center" wrapText="1"/>
    </xf>
    <xf numFmtId="164" fontId="12" fillId="0" borderId="0" xfId="0" applyNumberFormat="1" applyFont="1" applyAlignment="1">
      <alignment/>
    </xf>
    <xf numFmtId="164" fontId="7" fillId="0" borderId="0" xfId="0" applyNumberFormat="1" applyFont="1" applyBorder="1" applyAlignment="1">
      <alignment horizontal="center" wrapText="1"/>
    </xf>
    <xf numFmtId="164" fontId="0" fillId="2" borderId="15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164" fontId="6" fillId="0" borderId="16" xfId="0" applyNumberFormat="1" applyFont="1" applyFill="1" applyBorder="1" applyAlignment="1">
      <alignment horizontal="center" wrapText="1"/>
    </xf>
    <xf numFmtId="164" fontId="6" fillId="0" borderId="16" xfId="0" applyNumberFormat="1" applyFont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vertical="top"/>
    </xf>
    <xf numFmtId="164" fontId="7" fillId="0" borderId="15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 wrapText="1"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43" fontId="0" fillId="2" borderId="23" xfId="0" applyNumberFormat="1" applyFill="1" applyBorder="1" applyAlignment="1">
      <alignment/>
    </xf>
    <xf numFmtId="43" fontId="0" fillId="2" borderId="0" xfId="0" applyNumberFormat="1" applyFill="1" applyBorder="1" applyAlignment="1">
      <alignment/>
    </xf>
    <xf numFmtId="43" fontId="0" fillId="2" borderId="15" xfId="0" applyNumberFormat="1" applyFill="1" applyBorder="1" applyAlignment="1">
      <alignment/>
    </xf>
    <xf numFmtId="0" fontId="0" fillId="2" borderId="1" xfId="0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15" xfId="0" applyNumberFormat="1" applyFill="1" applyBorder="1" applyAlignment="1">
      <alignment/>
    </xf>
    <xf numFmtId="164" fontId="7" fillId="0" borderId="25" xfId="0" applyNumberFormat="1" applyFont="1" applyBorder="1" applyAlignment="1">
      <alignment/>
    </xf>
    <xf numFmtId="165" fontId="2" fillId="0" borderId="1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7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5" fontId="2" fillId="0" borderId="17" xfId="0" applyNumberFormat="1" applyFont="1" applyFill="1" applyBorder="1" applyAlignment="1">
      <alignment horizontal="center"/>
    </xf>
    <xf numFmtId="0" fontId="0" fillId="2" borderId="33" xfId="0" applyFont="1" applyFill="1" applyBorder="1" applyAlignment="1">
      <alignment/>
    </xf>
    <xf numFmtId="0" fontId="1" fillId="2" borderId="34" xfId="0" applyFont="1" applyFill="1" applyBorder="1" applyAlignment="1">
      <alignment/>
    </xf>
    <xf numFmtId="167" fontId="7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164" fontId="7" fillId="0" borderId="23" xfId="0" applyNumberFormat="1" applyFont="1" applyBorder="1" applyAlignment="1">
      <alignment/>
    </xf>
    <xf numFmtId="164" fontId="6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6" fillId="0" borderId="25" xfId="0" applyFont="1" applyBorder="1" applyAlignment="1">
      <alignment/>
    </xf>
    <xf numFmtId="0" fontId="7" fillId="2" borderId="23" xfId="0" applyFont="1" applyFill="1" applyBorder="1" applyAlignment="1">
      <alignment/>
    </xf>
    <xf numFmtId="0" fontId="12" fillId="0" borderId="23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17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6" fillId="0" borderId="20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165" fontId="2" fillId="0" borderId="35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65" fontId="6" fillId="0" borderId="8" xfId="0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32" xfId="0" applyBorder="1" applyAlignment="1">
      <alignment horizontal="center"/>
    </xf>
    <xf numFmtId="165" fontId="6" fillId="0" borderId="36" xfId="0" applyNumberFormat="1" applyFont="1" applyFill="1" applyBorder="1" applyAlignment="1">
      <alignment horizontal="center" wrapText="1"/>
    </xf>
    <xf numFmtId="0" fontId="0" fillId="0" borderId="5" xfId="0" applyBorder="1" applyAlignment="1">
      <alignment/>
    </xf>
    <xf numFmtId="0" fontId="3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7" xfId="0" applyBorder="1" applyAlignment="1">
      <alignment/>
    </xf>
    <xf numFmtId="165" fontId="6" fillId="0" borderId="3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1" xfId="0" applyBorder="1" applyAlignment="1">
      <alignment/>
    </xf>
    <xf numFmtId="0" fontId="0" fillId="0" borderId="16" xfId="0" applyBorder="1" applyAlignment="1">
      <alignment/>
    </xf>
    <xf numFmtId="0" fontId="0" fillId="0" borderId="7" xfId="0" applyBorder="1" applyAlignment="1">
      <alignment/>
    </xf>
    <xf numFmtId="0" fontId="0" fillId="0" borderId="32" xfId="0" applyBorder="1" applyAlignment="1">
      <alignment/>
    </xf>
    <xf numFmtId="0" fontId="6" fillId="0" borderId="8" xfId="0" applyFont="1" applyBorder="1" applyAlignment="1">
      <alignment horizontal="center" wrapText="1"/>
    </xf>
    <xf numFmtId="165" fontId="2" fillId="0" borderId="39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6" fillId="0" borderId="36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4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9" sqref="H9"/>
    </sheetView>
  </sheetViews>
  <sheetFormatPr defaultColWidth="9.140625" defaultRowHeight="12.75"/>
  <cols>
    <col min="1" max="1" width="10.8515625" style="22" customWidth="1"/>
    <col min="2" max="2" width="10.8515625" style="2" customWidth="1"/>
    <col min="3" max="3" width="9.140625" style="42" customWidth="1"/>
    <col min="4" max="4" width="7.57421875" style="6" bestFit="1" customWidth="1"/>
    <col min="5" max="5" width="11.140625" style="23" customWidth="1"/>
    <col min="6" max="6" width="9.140625" style="30" customWidth="1"/>
    <col min="7" max="7" width="7.57421875" style="6" customWidth="1"/>
    <col min="8" max="8" width="12.00390625" style="23" customWidth="1"/>
    <col min="9" max="9" width="9.140625" style="30" customWidth="1"/>
    <col min="10" max="10" width="7.57421875" style="6" customWidth="1"/>
    <col min="11" max="11" width="11.8515625" style="23" customWidth="1"/>
    <col min="12" max="12" width="9.140625" style="30" customWidth="1"/>
    <col min="13" max="13" width="7.57421875" style="6" customWidth="1"/>
    <col min="14" max="14" width="12.140625" style="23" customWidth="1"/>
    <col min="15" max="15" width="9.140625" style="30" customWidth="1"/>
    <col min="16" max="16" width="7.57421875" style="6" customWidth="1"/>
    <col min="17" max="17" width="12.00390625" style="23" customWidth="1"/>
    <col min="18" max="18" width="9.140625" style="30" customWidth="1"/>
    <col min="19" max="19" width="7.57421875" style="6" customWidth="1"/>
    <col min="20" max="20" width="12.28125" style="23" customWidth="1"/>
    <col min="21" max="21" width="12.57421875" style="183" bestFit="1" customWidth="1"/>
    <col min="22" max="16384" width="9.140625" style="6" customWidth="1"/>
  </cols>
  <sheetData>
    <row r="1" spans="1:28" ht="39" customHeight="1" thickBot="1">
      <c r="A1" s="247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9"/>
      <c r="U1" s="179"/>
      <c r="V1" s="3"/>
      <c r="W1" s="3"/>
      <c r="X1" s="4"/>
      <c r="Y1" s="5"/>
      <c r="Z1" s="5"/>
      <c r="AA1" s="5"/>
      <c r="AB1" s="5"/>
    </row>
    <row r="2" spans="1:28" s="10" customFormat="1" ht="27" customHeight="1" thickBot="1">
      <c r="A2" s="250" t="s">
        <v>27</v>
      </c>
      <c r="B2" s="251"/>
      <c r="C2" s="251"/>
      <c r="D2" s="251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3"/>
      <c r="U2" s="180"/>
      <c r="V2" s="7"/>
      <c r="W2" s="8"/>
      <c r="X2" s="8"/>
      <c r="Y2" s="8"/>
      <c r="Z2" s="8"/>
      <c r="AA2" s="8"/>
      <c r="AB2" s="9"/>
    </row>
    <row r="3" spans="1:28" s="33" customFormat="1" ht="51" customHeight="1">
      <c r="A3" s="64"/>
      <c r="B3" s="67"/>
      <c r="C3" s="257" t="s">
        <v>1</v>
      </c>
      <c r="D3" s="258"/>
      <c r="E3" s="223"/>
      <c r="F3" s="257" t="s">
        <v>2</v>
      </c>
      <c r="G3" s="258"/>
      <c r="H3" s="223"/>
      <c r="I3" s="257" t="s">
        <v>6</v>
      </c>
      <c r="J3" s="258"/>
      <c r="K3" s="223"/>
      <c r="L3" s="257" t="s">
        <v>3</v>
      </c>
      <c r="M3" s="258"/>
      <c r="N3" s="223"/>
      <c r="O3" s="257" t="s">
        <v>4</v>
      </c>
      <c r="P3" s="258"/>
      <c r="Q3" s="223"/>
      <c r="R3" s="254" t="s">
        <v>5</v>
      </c>
      <c r="S3" s="255"/>
      <c r="T3" s="256"/>
      <c r="U3" s="181" t="s">
        <v>28</v>
      </c>
      <c r="V3" s="34"/>
      <c r="W3" s="35"/>
      <c r="X3" s="35"/>
      <c r="Y3" s="35"/>
      <c r="Z3" s="35"/>
      <c r="AA3" s="35"/>
      <c r="AB3" s="36"/>
    </row>
    <row r="4" spans="1:29" s="13" customFormat="1" ht="15">
      <c r="A4" s="84" t="s">
        <v>7</v>
      </c>
      <c r="B4" s="85"/>
      <c r="C4" s="70" t="s">
        <v>17</v>
      </c>
      <c r="D4" s="27"/>
      <c r="E4" s="166" t="s">
        <v>26</v>
      </c>
      <c r="F4" s="73" t="s">
        <v>17</v>
      </c>
      <c r="G4" s="51"/>
      <c r="H4" s="170" t="s">
        <v>26</v>
      </c>
      <c r="I4" s="73" t="s">
        <v>17</v>
      </c>
      <c r="J4" s="74"/>
      <c r="K4" s="170" t="s">
        <v>26</v>
      </c>
      <c r="L4" s="73" t="s">
        <v>17</v>
      </c>
      <c r="M4" s="74"/>
      <c r="N4" s="170" t="s">
        <v>26</v>
      </c>
      <c r="O4" s="73" t="s">
        <v>17</v>
      </c>
      <c r="P4" s="74"/>
      <c r="Q4" s="170" t="s">
        <v>26</v>
      </c>
      <c r="R4" s="73" t="s">
        <v>17</v>
      </c>
      <c r="S4" s="74"/>
      <c r="T4" s="170" t="s">
        <v>26</v>
      </c>
      <c r="U4" s="182"/>
      <c r="V4" s="24"/>
      <c r="W4" s="25"/>
      <c r="X4" s="24"/>
      <c r="Y4" s="25"/>
      <c r="Z4" s="24"/>
      <c r="AA4" s="25"/>
      <c r="AB4" s="24"/>
      <c r="AC4" s="25"/>
    </row>
    <row r="5" spans="1:29" ht="14.25">
      <c r="A5" s="86"/>
      <c r="B5" s="87"/>
      <c r="C5" s="30">
        <f>SUM('Atlanta MEO FTE''s'!C5+'Baltimore MEO FTE''s'!B5+'Boston-New York MEO FTE''s'!B5+'MEO Buffalo-Philadelphia FTEs'!B5+'MEO Chicago-Columbus FTEs'!B5+'MEO Detroit Minn-Denver FTE'!B5+'MEO Seattle-San Fran-LA FTEs'!B5+'MEO Kansas City-Ft. Worth FTEs'!B5)</f>
        <v>4.549999999999999</v>
      </c>
      <c r="D5" s="37" t="s">
        <v>8</v>
      </c>
      <c r="E5" s="38">
        <f>SUM('Atlanta MEO FTE''s'!E5+'Baltimore MEO FTE''s'!D5+'Boston-New York MEO FTE''s'!D5+'MEO Buffalo-Philadelphia FTEs'!D5+'MEO Chicago-Columbus FTEs'!D5+'MEO Detroit Minn-Denver FTE'!D5+'MEO Seattle-San Fran-LA FTEs'!D5+'MEO Kansas City-Ft. Worth FTEs'!D5)</f>
        <v>595157</v>
      </c>
      <c r="F5" s="30">
        <f>SUM('Atlanta MEO FTE''s'!F5+'Baltimore MEO FTE''s'!E5+'Boston-New York MEO FTE''s'!E5+'MEO Buffalo-Philadelphia FTEs'!E5+'MEO Chicago-Columbus FTEs'!E5+'MEO Detroit Minn-Denver FTE'!E5+'MEO Seattle-San Fran-LA FTEs'!E5+'MEO Kansas City-Ft. Worth FTEs'!E5)</f>
        <v>8</v>
      </c>
      <c r="G5" s="37" t="s">
        <v>8</v>
      </c>
      <c r="H5" s="38">
        <f>SUM('Atlanta MEO FTE''s'!H5+'Baltimore MEO FTE''s'!G5+'Boston-New York MEO FTE''s'!G5+'MEO Buffalo-Philadelphia FTEs'!G5+'MEO Chicago-Columbus FTEs'!G5+'MEO Detroit Minn-Denver FTE'!G5+'MEO Seattle-San Fran-LA FTEs'!G5+'MEO Kansas City-Ft. Worth FTEs'!G5)</f>
        <v>1093950</v>
      </c>
      <c r="I5" s="30">
        <f>SUM('Atlanta MEO FTE''s'!I5+'Baltimore MEO FTE''s'!H5+'Boston-New York MEO FTE''s'!H5+'MEO Buffalo-Philadelphia FTEs'!H5+'MEO Chicago-Columbus FTEs'!H5+'MEO Detroit Minn-Denver FTE'!H5+'MEO Seattle-San Fran-LA FTEs'!H5+'MEO Kansas City-Ft. Worth FTEs'!H5)</f>
        <v>8</v>
      </c>
      <c r="J5" s="37" t="s">
        <v>8</v>
      </c>
      <c r="K5" s="38">
        <f>SUM('Atlanta MEO FTE''s'!K5+'Baltimore MEO FTE''s'!J5+'Boston-New York MEO FTE''s'!J5+'MEO Buffalo-Philadelphia FTEs'!J5+'MEO Chicago-Columbus FTEs'!J5+'MEO Detroit Minn-Denver FTE'!J5+'MEO Seattle-San Fran-LA FTEs'!J5+'MEO Kansas City-Ft. Worth FTEs'!J5)</f>
        <v>1143087</v>
      </c>
      <c r="L5" s="30">
        <f>SUM('Atlanta MEO FTE''s'!L5+'Baltimore MEO FTE''s'!K5+'Boston-New York MEO FTE''s'!K5+'MEO Buffalo-Philadelphia FTEs'!K5+'MEO Chicago-Columbus FTEs'!K5+'MEO Detroit Minn-Denver FTE'!K5+'MEO Seattle-San Fran-LA FTEs'!K5+'MEO Kansas City-Ft. Worth FTEs'!K5)</f>
        <v>8</v>
      </c>
      <c r="M5" s="37" t="s">
        <v>8</v>
      </c>
      <c r="N5" s="38">
        <f>SUM('Atlanta MEO FTE''s'!N5+'Baltimore MEO FTE''s'!M5+'Boston-New York MEO FTE''s'!M5+'MEO Buffalo-Philadelphia FTEs'!M5+'MEO Chicago-Columbus FTEs'!M5+'MEO Detroit Minn-Denver FTE'!M5+'MEO Seattle-San Fran-LA FTEs'!M5+'MEO Kansas City-Ft. Worth FTEs'!M5)</f>
        <v>1187773</v>
      </c>
      <c r="O5" s="30">
        <f>SUM('Atlanta MEO FTE''s'!O5+'Baltimore MEO FTE''s'!N5+'Boston-New York MEO FTE''s'!N5+'MEO Buffalo-Philadelphia FTEs'!N5+'MEO Chicago-Columbus FTEs'!N5+'MEO Detroit Minn-Denver FTE'!N5+'MEO Seattle-San Fran-LA FTEs'!N5+'MEO Kansas City-Ft. Worth FTEs'!N5)</f>
        <v>8</v>
      </c>
      <c r="P5" s="37" t="s">
        <v>8</v>
      </c>
      <c r="Q5" s="38">
        <f>SUM('Atlanta MEO FTE''s'!Q5+'Baltimore MEO FTE''s'!P5+'Boston-New York MEO FTE''s'!P5+'MEO Buffalo-Philadelphia FTEs'!P5+'MEO Chicago-Columbus FTEs'!P5+'MEO Detroit Minn-Denver FTE'!P5+'MEO Seattle-San Fran-LA FTEs'!P5+'MEO Kansas City-Ft. Worth FTEs'!P5)</f>
        <v>1237660</v>
      </c>
      <c r="R5" s="30">
        <f>SUM('Atlanta MEO FTE''s'!R5+'Baltimore MEO FTE''s'!Q5+'Boston-New York MEO FTE''s'!Q5+'MEO Buffalo-Philadelphia FTEs'!Q5+'MEO Chicago-Columbus FTEs'!Q5+'MEO Detroit Minn-Denver FTE'!Q5+'MEO Seattle-San Fran-LA FTEs'!Q5+'MEO Kansas City-Ft. Worth FTEs'!Q5)</f>
        <v>8</v>
      </c>
      <c r="S5" s="37" t="s">
        <v>8</v>
      </c>
      <c r="T5" s="38">
        <f>SUM('Atlanta MEO FTE''s'!T5+'Baltimore MEO FTE''s'!S5+'Boston-New York MEO FTE''s'!S5+'MEO Buffalo-Philadelphia FTEs'!S5+'MEO Chicago-Columbus FTEs'!S5+'MEO Detroit Minn-Denver FTE'!S5+'MEO Seattle-San Fran-LA FTEs'!S5+'MEO Kansas City-Ft. Worth FTEs'!S5)</f>
        <v>1289643</v>
      </c>
      <c r="U5" s="182"/>
      <c r="V5" s="15"/>
      <c r="W5" s="16"/>
      <c r="X5" s="15"/>
      <c r="Y5" s="16"/>
      <c r="Z5" s="15"/>
      <c r="AA5" s="16"/>
      <c r="AB5" s="15"/>
      <c r="AC5" s="16"/>
    </row>
    <row r="6" spans="1:29" ht="14.25">
      <c r="A6" s="86"/>
      <c r="B6" s="87"/>
      <c r="C6" s="30">
        <f>SUM('Atlanta MEO FTE''s'!C6+'Baltimore MEO FTE''s'!B6+'Boston-New York MEO FTE''s'!B6+'MEO Buffalo-Philadelphia FTEs'!B6+'MEO Chicago-Columbus FTEs'!B6+'MEO Detroit Minn-Denver FTE'!B6+'MEO Seattle-San Fran-LA FTEs'!B6+'MEO Kansas City-Ft. Worth FTEs'!B6)</f>
        <v>4.007999999999999</v>
      </c>
      <c r="D6" s="37" t="s">
        <v>9</v>
      </c>
      <c r="E6" s="38">
        <f>SUM('Atlanta MEO FTE''s'!E6+'Baltimore MEO FTE''s'!D6+'Boston-New York MEO FTE''s'!D6+'MEO Buffalo-Philadelphia FTEs'!D6+'MEO Chicago-Columbus FTEs'!D6+'MEO Detroit Minn-Denver FTE'!D6+'MEO Seattle-San Fran-LA FTEs'!D6+'MEO Kansas City-Ft. Worth FTEs'!D6)</f>
        <v>444001</v>
      </c>
      <c r="F6" s="30">
        <f>SUM('Atlanta MEO FTE''s'!F6+'Baltimore MEO FTE''s'!E6+'Boston-New York MEO FTE''s'!E6+'MEO Buffalo-Philadelphia FTEs'!E6+'MEO Chicago-Columbus FTEs'!E6+'MEO Detroit Minn-Denver FTE'!E6+'MEO Seattle-San Fran-LA FTEs'!E6+'MEO Kansas City-Ft. Worth FTEs'!E6)</f>
        <v>8</v>
      </c>
      <c r="G6" s="37" t="s">
        <v>9</v>
      </c>
      <c r="H6" s="38">
        <f>SUM('Atlanta MEO FTE''s'!H6+'Baltimore MEO FTE''s'!G6+'Boston-New York MEO FTE''s'!G6+'MEO Buffalo-Philadelphia FTEs'!G6+'MEO Chicago-Columbus FTEs'!G6+'MEO Detroit Minn-Denver FTE'!G6+'MEO Seattle-San Fran-LA FTEs'!G6+'MEO Kansas City-Ft. Worth FTEs'!G6)</f>
        <v>926580</v>
      </c>
      <c r="I6" s="30">
        <f>SUM('Atlanta MEO FTE''s'!I6+'Baltimore MEO FTE''s'!H6+'Boston-New York MEO FTE''s'!H6+'MEO Buffalo-Philadelphia FTEs'!H6+'MEO Chicago-Columbus FTEs'!H6+'MEO Detroit Minn-Denver FTE'!H6+'MEO Seattle-San Fran-LA FTEs'!H6+'MEO Kansas City-Ft. Worth FTEs'!H6)</f>
        <v>8</v>
      </c>
      <c r="J6" s="37" t="s">
        <v>9</v>
      </c>
      <c r="K6" s="38">
        <f>SUM('Atlanta MEO FTE''s'!K6+'Baltimore MEO FTE''s'!J6+'Boston-New York MEO FTE''s'!J6+'MEO Buffalo-Philadelphia FTEs'!J6+'MEO Chicago-Columbus FTEs'!J6+'MEO Detroit Minn-Denver FTE'!J6+'MEO Seattle-San Fran-LA FTEs'!J6+'MEO Kansas City-Ft. Worth FTEs'!J6)</f>
        <v>968197</v>
      </c>
      <c r="L6" s="30">
        <f>SUM('Atlanta MEO FTE''s'!L6+'Baltimore MEO FTE''s'!K6+'Boston-New York MEO FTE''s'!K6+'MEO Buffalo-Philadelphia FTEs'!K6+'MEO Chicago-Columbus FTEs'!K6+'MEO Detroit Minn-Denver FTE'!K6+'MEO Seattle-San Fran-LA FTEs'!K6+'MEO Kansas City-Ft. Worth FTEs'!K6)</f>
        <v>8</v>
      </c>
      <c r="M6" s="37" t="s">
        <v>9</v>
      </c>
      <c r="N6" s="38">
        <f>SUM('Atlanta MEO FTE''s'!N6+'Baltimore MEO FTE''s'!M6+'Boston-New York MEO FTE''s'!M6+'MEO Buffalo-Philadelphia FTEs'!M6+'MEO Chicago-Columbus FTEs'!M6+'MEO Detroit Minn-Denver FTE'!M6+'MEO Seattle-San Fran-LA FTEs'!M6+'MEO Kansas City-Ft. Worth FTEs'!M6)</f>
        <v>1187773</v>
      </c>
      <c r="O6" s="30">
        <f>SUM('Atlanta MEO FTE''s'!O6+'Baltimore MEO FTE''s'!N6+'Boston-New York MEO FTE''s'!N6+'MEO Buffalo-Philadelphia FTEs'!N6+'MEO Chicago-Columbus FTEs'!N6+'MEO Detroit Minn-Denver FTE'!N6+'MEO Seattle-San Fran-LA FTEs'!N6+'MEO Kansas City-Ft. Worth FTEs'!N6)</f>
        <v>8</v>
      </c>
      <c r="P6" s="37" t="s">
        <v>9</v>
      </c>
      <c r="Q6" s="38">
        <f>SUM('Atlanta MEO FTE''s'!Q6+'Baltimore MEO FTE''s'!P6+'Boston-New York MEO FTE''s'!P6+'MEO Buffalo-Philadelphia FTEs'!P6+'MEO Chicago-Columbus FTEs'!P6+'MEO Detroit Minn-Denver FTE'!P6+'MEO Seattle-San Fran-LA FTEs'!P6+'MEO Kansas City-Ft. Worth FTEs'!P6)</f>
        <v>1237660</v>
      </c>
      <c r="R6" s="30">
        <f>SUM('Atlanta MEO FTE''s'!R6+'Baltimore MEO FTE''s'!Q6+'Boston-New York MEO FTE''s'!Q6+'MEO Buffalo-Philadelphia FTEs'!Q6+'MEO Chicago-Columbus FTEs'!Q6+'MEO Detroit Minn-Denver FTE'!Q6+'MEO Seattle-San Fran-LA FTEs'!Q6+'MEO Kansas City-Ft. Worth FTEs'!Q6)</f>
        <v>8</v>
      </c>
      <c r="S6" s="37" t="s">
        <v>9</v>
      </c>
      <c r="T6" s="38">
        <f>SUM('Atlanta MEO FTE''s'!T6+'Baltimore MEO FTE''s'!S6+'Boston-New York MEO FTE''s'!S6+'MEO Buffalo-Philadelphia FTEs'!S6+'MEO Chicago-Columbus FTEs'!S6+'MEO Detroit Minn-Denver FTE'!S6+'MEO Seattle-San Fran-LA FTEs'!S6+'MEO Kansas City-Ft. Worth FTEs'!S6)</f>
        <v>1289643</v>
      </c>
      <c r="U6" s="182"/>
      <c r="V6" s="15"/>
      <c r="W6" s="16"/>
      <c r="X6" s="15"/>
      <c r="Y6" s="16"/>
      <c r="Z6" s="15"/>
      <c r="AA6" s="16"/>
      <c r="AB6" s="15"/>
      <c r="AC6" s="16"/>
    </row>
    <row r="7" spans="1:20" ht="14.25">
      <c r="A7" s="86"/>
      <c r="B7" s="87"/>
      <c r="C7" s="30">
        <f>SUM('Atlanta MEO FTE''s'!C7+'Baltimore MEO FTE''s'!B7+'Boston-New York MEO FTE''s'!B7+'MEO Buffalo-Philadelphia FTEs'!B7+'MEO Chicago-Columbus FTEs'!B7+'MEO Detroit Minn-Denver FTE'!B7+'MEO Seattle-San Fran-LA FTEs'!B7+'MEO Kansas City-Ft. Worth FTEs'!B7)</f>
        <v>5.205000000000001</v>
      </c>
      <c r="D7" s="37" t="s">
        <v>10</v>
      </c>
      <c r="E7" s="38">
        <f>SUM('Atlanta MEO FTE''s'!E7+'Baltimore MEO FTE''s'!D7+'Boston-New York MEO FTE''s'!D7+'MEO Buffalo-Philadelphia FTEs'!D7+'MEO Chicago-Columbus FTEs'!D7+'MEO Detroit Minn-Denver FTE'!D7+'MEO Seattle-San Fran-LA FTEs'!D7+'MEO Kansas City-Ft. Worth FTEs'!D7)</f>
        <v>484400</v>
      </c>
      <c r="F7" s="30">
        <f>SUM('Atlanta MEO FTE''s'!F7+'Baltimore MEO FTE''s'!E7+'Boston-New York MEO FTE''s'!E7+'MEO Buffalo-Philadelphia FTEs'!E7+'MEO Chicago-Columbus FTEs'!E7+'MEO Detroit Minn-Denver FTE'!E7+'MEO Seattle-San Fran-LA FTEs'!E7+'MEO Kansas City-Ft. Worth FTEs'!E7)</f>
        <v>16</v>
      </c>
      <c r="G7" s="37" t="s">
        <v>10</v>
      </c>
      <c r="H7" s="38">
        <f>SUM('Atlanta MEO FTE''s'!H7+'Baltimore MEO FTE''s'!G7+'Boston-New York MEO FTE''s'!G7+'MEO Buffalo-Philadelphia FTEs'!G7+'MEO Chicago-Columbus FTEs'!G7+'MEO Detroit Minn-Denver FTE'!G7+'MEO Seattle-San Fran-LA FTEs'!G7+'MEO Kansas City-Ft. Worth FTEs'!G7)</f>
        <v>1558356</v>
      </c>
      <c r="I7" s="30">
        <f>SUM('Atlanta MEO FTE''s'!I7+'Baltimore MEO FTE''s'!H7+'Boston-New York MEO FTE''s'!H7+'MEO Buffalo-Philadelphia FTEs'!H7+'MEO Chicago-Columbus FTEs'!H7+'MEO Detroit Minn-Denver FTE'!H7+'MEO Seattle-San Fran-LA FTEs'!H7+'MEO Kansas City-Ft. Worth FTEs'!H7)</f>
        <v>16</v>
      </c>
      <c r="J7" s="37" t="s">
        <v>10</v>
      </c>
      <c r="K7" s="38">
        <f>SUM('Atlanta MEO FTE''s'!K7+'Baltimore MEO FTE''s'!J7+'Boston-New York MEO FTE''s'!J7+'MEO Buffalo-Philadelphia FTEs'!J7+'MEO Chicago-Columbus FTEs'!J7+'MEO Detroit Minn-Denver FTE'!J7+'MEO Seattle-San Fran-LA FTEs'!J7+'MEO Kansas City-Ft. Worth FTEs'!J7)</f>
        <v>1628348</v>
      </c>
      <c r="L7" s="30">
        <f>SUM('Atlanta MEO FTE''s'!L7+'Baltimore MEO FTE''s'!K7+'Boston-New York MEO FTE''s'!K7+'MEO Buffalo-Philadelphia FTEs'!K7+'MEO Chicago-Columbus FTEs'!K7+'MEO Detroit Minn-Denver FTE'!K7+'MEO Seattle-San Fran-LA FTEs'!K7+'MEO Kansas City-Ft. Worth FTEs'!K7)</f>
        <v>16</v>
      </c>
      <c r="M7" s="37" t="s">
        <v>10</v>
      </c>
      <c r="N7" s="38">
        <f>SUM('Atlanta MEO FTE''s'!N7+'Baltimore MEO FTE''s'!M7+'Boston-New York MEO FTE''s'!M7+'MEO Buffalo-Philadelphia FTEs'!M7+'MEO Chicago-Columbus FTEs'!M7+'MEO Detroit Minn-Denver FTE'!M7+'MEO Seattle-San Fran-LA FTEs'!M7+'MEO Kansas City-Ft. Worth FTEs'!M7)</f>
        <v>2012090</v>
      </c>
      <c r="O7" s="30">
        <f>SUM('Atlanta MEO FTE''s'!O7+'Baltimore MEO FTE''s'!N7+'Boston-New York MEO FTE''s'!N7+'MEO Buffalo-Philadelphia FTEs'!N7+'MEO Chicago-Columbus FTEs'!N7+'MEO Detroit Minn-Denver FTE'!N7+'MEO Seattle-San Fran-LA FTEs'!N7+'MEO Kansas City-Ft. Worth FTEs'!N7)</f>
        <v>16</v>
      </c>
      <c r="P7" s="37" t="s">
        <v>10</v>
      </c>
      <c r="Q7" s="38">
        <f>SUM('Atlanta MEO FTE''s'!Q7+'Baltimore MEO FTE''s'!P7+'Boston-New York MEO FTE''s'!P7+'MEO Buffalo-Philadelphia FTEs'!P7+'MEO Chicago-Columbus FTEs'!P7+'MEO Detroit Minn-Denver FTE'!P7+'MEO Seattle-San Fran-LA FTEs'!P7+'MEO Kansas City-Ft. Worth FTEs'!P7)</f>
        <v>2096606</v>
      </c>
      <c r="R7" s="30">
        <f>SUM('Atlanta MEO FTE''s'!R7+'Baltimore MEO FTE''s'!Q7+'Boston-New York MEO FTE''s'!Q7+'MEO Buffalo-Philadelphia FTEs'!Q7+'MEO Chicago-Columbus FTEs'!Q7+'MEO Detroit Minn-Denver FTE'!Q7+'MEO Seattle-San Fran-LA FTEs'!Q7+'MEO Kansas City-Ft. Worth FTEs'!Q7)</f>
        <v>16</v>
      </c>
      <c r="S7" s="37" t="s">
        <v>10</v>
      </c>
      <c r="T7" s="38">
        <f>SUM('Atlanta MEO FTE''s'!T7+'Baltimore MEO FTE''s'!S7+'Boston-New York MEO FTE''s'!S7+'MEO Buffalo-Philadelphia FTEs'!S7+'MEO Chicago-Columbus FTEs'!S7+'MEO Detroit Minn-Denver FTE'!S7+'MEO Seattle-San Fran-LA FTEs'!S7+'MEO Kansas City-Ft. Worth FTEs'!S7)</f>
        <v>2184658</v>
      </c>
    </row>
    <row r="8" spans="1:20" ht="14.25">
      <c r="A8" s="86"/>
      <c r="B8" s="87"/>
      <c r="C8" s="30">
        <f>SUM('Atlanta MEO FTE''s'!C8+'Baltimore MEO FTE''s'!B8+'Boston-New York MEO FTE''s'!B8+'MEO Buffalo-Philadelphia FTEs'!B8+'MEO Chicago-Columbus FTEs'!B8+'MEO Detroit Minn-Denver FTE'!B8+'MEO Seattle-San Fran-LA FTEs'!B8+'MEO Kansas City-Ft. Worth FTEs'!B8)</f>
        <v>1.87</v>
      </c>
      <c r="D8" s="37" t="s">
        <v>11</v>
      </c>
      <c r="E8" s="38">
        <f>SUM('Atlanta MEO FTE''s'!E8+'Baltimore MEO FTE''s'!D8+'Boston-New York MEO FTE''s'!D8+'MEO Buffalo-Philadelphia FTEs'!D8+'MEO Chicago-Columbus FTEs'!D8+'MEO Detroit Minn-Denver FTE'!D8+'MEO Seattle-San Fran-LA FTEs'!D8+'MEO Kansas City-Ft. Worth FTEs'!D8)</f>
        <v>145226</v>
      </c>
      <c r="F8" s="30">
        <f>SUM('Atlanta MEO FTE''s'!F8+'Baltimore MEO FTE''s'!E8+'Boston-New York MEO FTE''s'!E8+'MEO Buffalo-Philadelphia FTEs'!E8+'MEO Chicago-Columbus FTEs'!E8+'MEO Detroit Minn-Denver FTE'!E8+'MEO Seattle-San Fran-LA FTEs'!E8+'MEO Kansas City-Ft. Worth FTEs'!E8)</f>
        <v>5.25</v>
      </c>
      <c r="G8" s="37" t="s">
        <v>11</v>
      </c>
      <c r="H8" s="38">
        <f>SUM('Atlanta MEO FTE''s'!H8+'Baltimore MEO FTE''s'!G8+'Boston-New York MEO FTE''s'!G8+'MEO Buffalo-Philadelphia FTEs'!G8+'MEO Chicago-Columbus FTEs'!G8+'MEO Detroit Minn-Denver FTE'!G8+'MEO Seattle-San Fran-LA FTEs'!G8+'MEO Kansas City-Ft. Worth FTEs'!G8)</f>
        <v>427119</v>
      </c>
      <c r="I8" s="30">
        <f>SUM('Atlanta MEO FTE''s'!I8+'Baltimore MEO FTE''s'!H8+'Boston-New York MEO FTE''s'!H8+'MEO Buffalo-Philadelphia FTEs'!H8+'MEO Chicago-Columbus FTEs'!H8+'MEO Detroit Minn-Denver FTE'!H8+'MEO Seattle-San Fran-LA FTEs'!H8+'MEO Kansas City-Ft. Worth FTEs'!H8)</f>
        <v>5.25</v>
      </c>
      <c r="J8" s="37" t="s">
        <v>11</v>
      </c>
      <c r="K8" s="38">
        <f>SUM('Atlanta MEO FTE''s'!K8+'Baltimore MEO FTE''s'!J8+'Boston-New York MEO FTE''s'!J8+'MEO Buffalo-Philadelphia FTEs'!J8+'MEO Chicago-Columbus FTEs'!J8+'MEO Detroit Minn-Denver FTE'!J8+'MEO Seattle-San Fran-LA FTEs'!J8+'MEO Kansas City-Ft. Worth FTEs'!J8)</f>
        <v>446304</v>
      </c>
      <c r="L8" s="30">
        <f>SUM('Atlanta MEO FTE''s'!L8+'Baltimore MEO FTE''s'!K8+'Boston-New York MEO FTE''s'!K8+'MEO Buffalo-Philadelphia FTEs'!K8+'MEO Chicago-Columbus FTEs'!K8+'MEO Detroit Minn-Denver FTE'!K8+'MEO Seattle-San Fran-LA FTEs'!K8+'MEO Kansas City-Ft. Worth FTEs'!K8)</f>
        <v>5.25</v>
      </c>
      <c r="M8" s="37" t="s">
        <v>11</v>
      </c>
      <c r="N8" s="38">
        <f>SUM('Atlanta MEO FTE''s'!N8+'Baltimore MEO FTE''s'!M8+'Boston-New York MEO FTE''s'!M8+'MEO Buffalo-Philadelphia FTEs'!M8+'MEO Chicago-Columbus FTEs'!M8+'MEO Detroit Minn-Denver FTE'!M8+'MEO Seattle-San Fran-LA FTEs'!M8+'MEO Kansas City-Ft. Worth FTEs'!M8)</f>
        <v>463754</v>
      </c>
      <c r="O8" s="30">
        <f>SUM('Atlanta MEO FTE''s'!O8+'Baltimore MEO FTE''s'!N8+'Boston-New York MEO FTE''s'!N8+'MEO Buffalo-Philadelphia FTEs'!N8+'MEO Chicago-Columbus FTEs'!N8+'MEO Detroit Minn-Denver FTE'!N8+'MEO Seattle-San Fran-LA FTEs'!N8+'MEO Kansas City-Ft. Worth FTEs'!N8)</f>
        <v>5.5</v>
      </c>
      <c r="P8" s="37" t="s">
        <v>11</v>
      </c>
      <c r="Q8" s="38">
        <f>SUM('Atlanta MEO FTE''s'!Q8+'Baltimore MEO FTE''s'!P8+'Boston-New York MEO FTE''s'!P8+'MEO Buffalo-Philadelphia FTEs'!P8+'MEO Chicago-Columbus FTEs'!P8+'MEO Detroit Minn-Denver FTE'!P8+'MEO Seattle-San Fran-LA FTEs'!P8+'MEO Kansas City-Ft. Worth FTEs'!P8)</f>
        <v>506033</v>
      </c>
      <c r="R8" s="30">
        <f>SUM('Atlanta MEO FTE''s'!R8+'Baltimore MEO FTE''s'!Q8+'Boston-New York MEO FTE''s'!Q8+'MEO Buffalo-Philadelphia FTEs'!Q8+'MEO Chicago-Columbus FTEs'!Q8+'MEO Detroit Minn-Denver FTE'!Q8+'MEO Seattle-San Fran-LA FTEs'!Q8+'MEO Kansas City-Ft. Worth FTEs'!Q8)</f>
        <v>5.5</v>
      </c>
      <c r="S8" s="37" t="s">
        <v>11</v>
      </c>
      <c r="T8" s="38">
        <f>SUM('Atlanta MEO FTE''s'!T8+'Baltimore MEO FTE''s'!S8+'Boston-New York MEO FTE''s'!S8+'MEO Buffalo-Philadelphia FTEs'!S8+'MEO Chicago-Columbus FTEs'!S8+'MEO Detroit Minn-Denver FTE'!S8+'MEO Seattle-San Fran-LA FTEs'!S8+'MEO Kansas City-Ft. Worth FTEs'!S8)</f>
        <v>527290</v>
      </c>
    </row>
    <row r="9" spans="1:20" ht="14.25">
      <c r="A9" s="86"/>
      <c r="B9" s="87"/>
      <c r="C9" s="71" t="s">
        <v>30</v>
      </c>
      <c r="D9" s="50"/>
      <c r="E9" s="38"/>
      <c r="F9" s="71" t="s">
        <v>29</v>
      </c>
      <c r="G9" s="43"/>
      <c r="H9" s="38"/>
      <c r="I9" s="71" t="s">
        <v>30</v>
      </c>
      <c r="J9" s="43"/>
      <c r="K9" s="38"/>
      <c r="L9" s="71" t="s">
        <v>30</v>
      </c>
      <c r="M9" s="50"/>
      <c r="N9" s="38"/>
      <c r="O9" s="71" t="s">
        <v>30</v>
      </c>
      <c r="P9" s="50"/>
      <c r="Q9" s="38"/>
      <c r="R9" s="71" t="s">
        <v>30</v>
      </c>
      <c r="S9" s="50"/>
      <c r="T9" s="38"/>
    </row>
    <row r="10" spans="1:20" ht="14.25">
      <c r="A10" s="86"/>
      <c r="B10" s="87"/>
      <c r="C10" s="30">
        <f>SUM('Atlanta MEO FTE''s'!C10+'Baltimore MEO FTE''s'!B10+'Boston-New York MEO FTE''s'!B10+'MEO Buffalo-Philadelphia FTEs'!B10+'MEO Chicago-Columbus FTEs'!B10+'MEO Detroit Minn-Denver FTE'!B10+'MEO Seattle-San Fran-LA FTEs'!B10+'MEO Kansas City-Ft. Worth FTEs'!B10)</f>
        <v>3.7839999999999994</v>
      </c>
      <c r="D10" s="37" t="s">
        <v>11</v>
      </c>
      <c r="E10" s="38">
        <f>SUM('Atlanta MEO FTE''s'!E10+'Baltimore MEO FTE''s'!D10+'Boston-New York MEO FTE''s'!D10+'MEO Buffalo-Philadelphia FTEs'!D10+'MEO Chicago-Columbus FTEs'!D10+'MEO Detroit Minn-Denver FTE'!D10+'MEO Seattle-San Fran-LA FTEs'!D10+'MEO Kansas City-Ft. Worth FTEs'!D10)</f>
        <v>293967</v>
      </c>
      <c r="F10" s="30">
        <f>SUM('Atlanta MEO FTE''s'!F10+'Baltimore MEO FTE''s'!E10+'Boston-New York MEO FTE''s'!E10+'MEO Buffalo-Philadelphia FTEs'!E10+'MEO Chicago-Columbus FTEs'!E10+'MEO Detroit Minn-Denver FTE'!E10+'MEO Seattle-San Fran-LA FTEs'!E10+'MEO Kansas City-Ft. Worth FTEs'!E10)</f>
        <v>8</v>
      </c>
      <c r="G10" s="37" t="s">
        <v>11</v>
      </c>
      <c r="H10" s="38">
        <f>SUM('Atlanta MEO FTE''s'!H10+'Baltimore MEO FTE''s'!G10+'Boston-New York MEO FTE''s'!G10+'MEO Buffalo-Philadelphia FTEs'!G10+'MEO Chicago-Columbus FTEs'!G10+'MEO Detroit Minn-Denver FTE'!G10+'MEO Seattle-San Fran-LA FTEs'!G10+'MEO Kansas City-Ft. Worth FTEs'!G10)</f>
        <v>650777</v>
      </c>
      <c r="I10" s="30">
        <f>SUM('Atlanta MEO FTE''s'!I10+'Baltimore MEO FTE''s'!H10+'Boston-New York MEO FTE''s'!H10+'MEO Buffalo-Philadelphia FTEs'!H10+'MEO Chicago-Columbus FTEs'!H10+'MEO Detroit Minn-Denver FTE'!H10+'MEO Seattle-San Fran-LA FTEs'!H10+'MEO Kansas City-Ft. Worth FTEs'!H10)</f>
        <v>8</v>
      </c>
      <c r="J10" s="37" t="s">
        <v>11</v>
      </c>
      <c r="K10" s="38">
        <f>SUM('Atlanta MEO FTE''s'!K10+'Baltimore MEO FTE''s'!J10+'Boston-New York MEO FTE''s'!J10+'MEO Buffalo-Philadelphia FTEs'!J10+'MEO Chicago-Columbus FTEs'!J10+'MEO Detroit Minn-Denver FTE'!J10+'MEO Seattle-San Fran-LA FTEs'!J10+'MEO Kansas City-Ft. Worth FTEs'!J10)</f>
        <v>680012</v>
      </c>
      <c r="L10" s="30">
        <f>SUM('Atlanta MEO FTE''s'!L10+'Baltimore MEO FTE''s'!K10+'Boston-New York MEO FTE''s'!K10+'MEO Buffalo-Philadelphia FTEs'!K10+'MEO Chicago-Columbus FTEs'!K10+'MEO Detroit Minn-Denver FTE'!K10+'MEO Seattle-San Fran-LA FTEs'!K10+'MEO Kansas City-Ft. Worth FTEs'!K10)</f>
        <v>8</v>
      </c>
      <c r="M10" s="37" t="s">
        <v>11</v>
      </c>
      <c r="N10" s="38">
        <f>SUM('Atlanta MEO FTE''s'!N10+'Baltimore MEO FTE''s'!M10+'Boston-New York MEO FTE''s'!M10+'MEO Buffalo-Philadelphia FTEs'!M10+'MEO Chicago-Columbus FTEs'!M10+'MEO Detroit Minn-Denver FTE'!M10+'MEO Seattle-San Fran-LA FTEs'!M10+'MEO Kansas City-Ft. Worth FTEs'!M10)</f>
        <v>706593</v>
      </c>
      <c r="O10" s="30">
        <f>SUM('Atlanta MEO FTE''s'!O10+'Baltimore MEO FTE''s'!N10+'Boston-New York MEO FTE''s'!N10+'MEO Buffalo-Philadelphia FTEs'!N10+'MEO Chicago-Columbus FTEs'!N10+'MEO Detroit Minn-Denver FTE'!N10+'MEO Seattle-San Fran-LA FTEs'!N10+'MEO Kansas City-Ft. Worth FTEs'!N10)</f>
        <v>8</v>
      </c>
      <c r="P10" s="37" t="s">
        <v>11</v>
      </c>
      <c r="Q10" s="38">
        <f>SUM('Atlanta MEO FTE''s'!Q10+'Baltimore MEO FTE''s'!P10+'Boston-New York MEO FTE''s'!P10+'MEO Buffalo-Philadelphia FTEs'!P10+'MEO Chicago-Columbus FTEs'!P10+'MEO Detroit Minn-Denver FTE'!P10+'MEO Seattle-San Fran-LA FTEs'!P10+'MEO Kansas City-Ft. Worth FTEs'!P10)</f>
        <v>736270</v>
      </c>
      <c r="R10" s="30">
        <f>SUM('Atlanta MEO FTE''s'!R10+'Baltimore MEO FTE''s'!Q10+'Boston-New York MEO FTE''s'!Q10+'MEO Buffalo-Philadelphia FTEs'!Q10+'MEO Chicago-Columbus FTEs'!Q10+'MEO Detroit Minn-Denver FTE'!Q10+'MEO Seattle-San Fran-LA FTEs'!Q10+'MEO Kansas City-Ft. Worth FTEs'!Q10)</f>
        <v>8</v>
      </c>
      <c r="S10" s="37" t="s">
        <v>11</v>
      </c>
      <c r="T10" s="38">
        <f>SUM('Atlanta MEO FTE''s'!T10+'Baltimore MEO FTE''s'!S10+'Boston-New York MEO FTE''s'!S10+'MEO Buffalo-Philadelphia FTEs'!S10+'MEO Chicago-Columbus FTEs'!S10+'MEO Detroit Minn-Denver FTE'!S10+'MEO Seattle-San Fran-LA FTEs'!S10+'MEO Kansas City-Ft. Worth FTEs'!S10)</f>
        <v>767193</v>
      </c>
    </row>
    <row r="11" spans="1:20" ht="14.25">
      <c r="A11" s="86"/>
      <c r="B11" s="87"/>
      <c r="C11" s="30">
        <f>SUM('Atlanta MEO FTE''s'!C11+'Baltimore MEO FTE''s'!B11+'Boston-New York MEO FTE''s'!B11+'MEO Buffalo-Philadelphia FTEs'!B11+'MEO Chicago-Columbus FTEs'!B11+'MEO Detroit Minn-Denver FTE'!B11+'MEO Seattle-San Fran-LA FTEs'!B11+'MEO Kansas City-Ft. Worth FTEs'!B11)</f>
        <v>4.394</v>
      </c>
      <c r="D11" s="37" t="s">
        <v>12</v>
      </c>
      <c r="E11" s="38">
        <f>SUM('Atlanta MEO FTE''s'!E11+'Baltimore MEO FTE''s'!D11+'Boston-New York MEO FTE''s'!D11+'MEO Buffalo-Philadelphia FTEs'!D11+'MEO Chicago-Columbus FTEs'!D11+'MEO Detroit Minn-Denver FTE'!D11+'MEO Seattle-San Fran-LA FTEs'!D11+'MEO Kansas City-Ft. Worth FTEs'!D11)</f>
        <v>290760</v>
      </c>
      <c r="F11" s="30">
        <f>SUM('Atlanta MEO FTE''s'!F11+'Baltimore MEO FTE''s'!E11+'Boston-New York MEO FTE''s'!E11+'MEO Buffalo-Philadelphia FTEs'!E11+'MEO Chicago-Columbus FTEs'!E11+'MEO Detroit Minn-Denver FTE'!E11+'MEO Seattle-San Fran-LA FTEs'!E11+'MEO Kansas City-Ft. Worth FTEs'!E11)</f>
        <v>18</v>
      </c>
      <c r="G11" s="37" t="s">
        <v>12</v>
      </c>
      <c r="H11" s="38">
        <f>SUM('Atlanta MEO FTE''s'!H11+'Baltimore MEO FTE''s'!G11+'Boston-New York MEO FTE''s'!G11+'MEO Buffalo-Philadelphia FTEs'!G11+'MEO Chicago-Columbus FTEs'!G11+'MEO Detroit Minn-Denver FTE'!G11+'MEO Seattle-San Fran-LA FTEs'!G11+'MEO Kansas City-Ft. Worth FTEs'!G11)</f>
        <v>1267213</v>
      </c>
      <c r="I11" s="30">
        <f>SUM('Atlanta MEO FTE''s'!I11+'Baltimore MEO FTE''s'!H11+'Boston-New York MEO FTE''s'!H11+'MEO Buffalo-Philadelphia FTEs'!H11+'MEO Chicago-Columbus FTEs'!H11+'MEO Detroit Minn-Denver FTE'!H11+'MEO Seattle-San Fran-LA FTEs'!H11+'MEO Kansas City-Ft. Worth FTEs'!H11)</f>
        <v>20</v>
      </c>
      <c r="J11" s="37" t="s">
        <v>12</v>
      </c>
      <c r="K11" s="38">
        <f>SUM('Atlanta MEO FTE''s'!K11+'Baltimore MEO FTE''s'!J11+'Boston-New York MEO FTE''s'!J11+'MEO Buffalo-Philadelphia FTEs'!J11+'MEO Chicago-Columbus FTEs'!J11+'MEO Detroit Minn-Denver FTE'!J11+'MEO Seattle-San Fran-LA FTEs'!J11+'MEO Kansas City-Ft. Worth FTEs'!J11)</f>
        <v>1468850</v>
      </c>
      <c r="L11" s="30">
        <f>SUM('Atlanta MEO FTE''s'!L11+'Baltimore MEO FTE''s'!K11+'Boston-New York MEO FTE''s'!K11+'MEO Buffalo-Philadelphia FTEs'!K11+'MEO Chicago-Columbus FTEs'!K11+'MEO Detroit Minn-Denver FTE'!K11+'MEO Seattle-San Fran-LA FTEs'!K11+'MEO Kansas City-Ft. Worth FTEs'!K11)</f>
        <v>21</v>
      </c>
      <c r="M11" s="37" t="s">
        <v>12</v>
      </c>
      <c r="N11" s="38">
        <f>SUM('Atlanta MEO FTE''s'!N11+'Baltimore MEO FTE''s'!M11+'Boston-New York MEO FTE''s'!M11+'MEO Buffalo-Philadelphia FTEs'!M11+'MEO Chicago-Columbus FTEs'!M11+'MEO Detroit Minn-Denver FTE'!M11+'MEO Seattle-San Fran-LA FTEs'!M11+'MEO Kansas City-Ft. Worth FTEs'!M11)</f>
        <v>1603671</v>
      </c>
      <c r="O11" s="30">
        <f>SUM('Atlanta MEO FTE''s'!O11+'Baltimore MEO FTE''s'!N11+'Boston-New York MEO FTE''s'!N11+'MEO Buffalo-Philadelphia FTEs'!N11+'MEO Chicago-Columbus FTEs'!N11+'MEO Detroit Minn-Denver FTE'!N11+'MEO Seattle-San Fran-LA FTEs'!N11+'MEO Kansas City-Ft. Worth FTEs'!N11)</f>
        <v>24</v>
      </c>
      <c r="P11" s="37" t="s">
        <v>12</v>
      </c>
      <c r="Q11" s="38">
        <f>SUM('Atlanta MEO FTE''s'!Q11+'Baltimore MEO FTE''s'!P11+'Boston-New York MEO FTE''s'!P11+'MEO Buffalo-Philadelphia FTEs'!P11+'MEO Chicago-Columbus FTEs'!P11+'MEO Detroit Minn-Denver FTE'!P11+'MEO Seattle-San Fran-LA FTEs'!P11+'MEO Kansas City-Ft. Worth FTEs'!P11)</f>
        <v>1901751</v>
      </c>
      <c r="R11" s="30">
        <f>SUM('Atlanta MEO FTE''s'!R11+'Baltimore MEO FTE''s'!Q11+'Boston-New York MEO FTE''s'!Q11+'MEO Buffalo-Philadelphia FTEs'!Q11+'MEO Chicago-Columbus FTEs'!Q11+'MEO Detroit Minn-Denver FTE'!Q11+'MEO Seattle-San Fran-LA FTEs'!Q11+'MEO Kansas City-Ft. Worth FTEs'!Q11)</f>
        <v>25</v>
      </c>
      <c r="S11" s="37" t="s">
        <v>12</v>
      </c>
      <c r="T11" s="38">
        <f>SUM('Atlanta MEO FTE''s'!T11+'Baltimore MEO FTE''s'!S11+'Boston-New York MEO FTE''s'!S11+'MEO Buffalo-Philadelphia FTEs'!S11+'MEO Chicago-Columbus FTEs'!S11+'MEO Detroit Minn-Denver FTE'!S11+'MEO Seattle-San Fran-LA FTEs'!S11+'MEO Kansas City-Ft. Worth FTEs'!S11)</f>
        <v>2068725</v>
      </c>
    </row>
    <row r="12" spans="1:20" ht="14.25">
      <c r="A12" s="86"/>
      <c r="B12" s="87"/>
      <c r="C12" s="30">
        <f>SUM('Atlanta MEO FTE''s'!C12+'Baltimore MEO FTE''s'!B12+'Boston-New York MEO FTE''s'!B12+'MEO Buffalo-Philadelphia FTEs'!B12+'MEO Chicago-Columbus FTEs'!B12+'MEO Detroit Minn-Denver FTE'!B12+'MEO Seattle-San Fran-LA FTEs'!B12+'MEO Kansas City-Ft. Worth FTEs'!B12)</f>
        <v>16.127</v>
      </c>
      <c r="D12" s="37" t="s">
        <v>13</v>
      </c>
      <c r="E12" s="38">
        <f>SUM('Atlanta MEO FTE''s'!E12+'Baltimore MEO FTE''s'!D12+'Boston-New York MEO FTE''s'!D12+'MEO Buffalo-Philadelphia FTEs'!D12+'MEO Chicago-Columbus FTEs'!D12+'MEO Detroit Minn-Denver FTE'!D12+'MEO Seattle-San Fran-LA FTEs'!D12+'MEO Kansas City-Ft. Worth FTEs'!D12)</f>
        <v>866765</v>
      </c>
      <c r="F12" s="30">
        <f>SUM('Atlanta MEO FTE''s'!F12+'Baltimore MEO FTE''s'!E12+'Boston-New York MEO FTE''s'!E12+'MEO Buffalo-Philadelphia FTEs'!E12+'MEO Chicago-Columbus FTEs'!E12+'MEO Detroit Minn-Denver FTE'!E12+'MEO Seattle-San Fran-LA FTEs'!E12+'MEO Kansas City-Ft. Worth FTEs'!E12)</f>
        <v>72</v>
      </c>
      <c r="G12" s="37" t="s">
        <v>13</v>
      </c>
      <c r="H12" s="38">
        <f>SUM('Atlanta MEO FTE''s'!H12+'Baltimore MEO FTE''s'!G12+'Boston-New York MEO FTE''s'!G12+'MEO Buffalo-Philadelphia FTEs'!G12+'MEO Chicago-Columbus FTEs'!G12+'MEO Detroit Minn-Denver FTE'!G12+'MEO Seattle-San Fran-LA FTEs'!G12+'MEO Kansas City-Ft. Worth FTEs'!G12)</f>
        <v>4081327</v>
      </c>
      <c r="I12" s="30">
        <f>SUM('Atlanta MEO FTE''s'!I12+'Baltimore MEO FTE''s'!H12+'Boston-New York MEO FTE''s'!H12+'MEO Buffalo-Philadelphia FTEs'!H12+'MEO Chicago-Columbus FTEs'!H12+'MEO Detroit Minn-Denver FTE'!H12+'MEO Seattle-San Fran-LA FTEs'!H12+'MEO Kansas City-Ft. Worth FTEs'!H12)</f>
        <v>74</v>
      </c>
      <c r="J12" s="37" t="s">
        <v>13</v>
      </c>
      <c r="K12" s="38">
        <f>SUM('Atlanta MEO FTE''s'!K12+'Baltimore MEO FTE''s'!J12+'Boston-New York MEO FTE''s'!J12+'MEO Buffalo-Philadelphia FTEs'!J12+'MEO Chicago-Columbus FTEs'!J12+'MEO Detroit Minn-Denver FTE'!J12+'MEO Seattle-San Fran-LA FTEs'!J12+'MEO Kansas City-Ft. Worth FTEs'!J12)</f>
        <v>4289819</v>
      </c>
      <c r="L12" s="30">
        <f>SUM('Atlanta MEO FTE''s'!L12+'Baltimore MEO FTE''s'!K12+'Boston-New York MEO FTE''s'!K12+'MEO Buffalo-Philadelphia FTEs'!K12+'MEO Chicago-Columbus FTEs'!K12+'MEO Detroit Minn-Denver FTE'!K12+'MEO Seattle-San Fran-LA FTEs'!K12+'MEO Kansas City-Ft. Worth FTEs'!K12)</f>
        <v>77.5</v>
      </c>
      <c r="M12" s="37" t="s">
        <v>13</v>
      </c>
      <c r="N12" s="38">
        <f>SUM('Atlanta MEO FTE''s'!N12+'Baltimore MEO FTE''s'!M12+'Boston-New York MEO FTE''s'!M12+'MEO Buffalo-Philadelphia FTEs'!M12+'MEO Chicago-Columbus FTEs'!M12+'MEO Detroit Minn-Denver FTE'!M12+'MEO Seattle-San Fran-LA FTEs'!M12+'MEO Kansas City-Ft. Worth FTEs'!M12)</f>
        <v>4498914</v>
      </c>
      <c r="O12" s="30">
        <f>SUM('Atlanta MEO FTE''s'!O12+'Baltimore MEO FTE''s'!N12+'Boston-New York MEO FTE''s'!N12+'MEO Buffalo-Philadelphia FTEs'!N12+'MEO Chicago-Columbus FTEs'!N12+'MEO Detroit Minn-Denver FTE'!N12+'MEO Seattle-San Fran-LA FTEs'!N12+'MEO Kansas City-Ft. Worth FTEs'!N12)</f>
        <v>77.5</v>
      </c>
      <c r="P12" s="37" t="s">
        <v>13</v>
      </c>
      <c r="Q12" s="38">
        <f>SUM('Atlanta MEO FTE''s'!Q12+'Baltimore MEO FTE''s'!P12+'Boston-New York MEO FTE''s'!P12+'MEO Buffalo-Philadelphia FTEs'!P12+'MEO Chicago-Columbus FTEs'!P12+'MEO Detroit Minn-Denver FTE'!P12+'MEO Seattle-San Fran-LA FTEs'!P12+'MEO Kansas City-Ft. Worth FTEs'!P12)</f>
        <v>4501318</v>
      </c>
      <c r="R12" s="30">
        <f>SUM('Atlanta MEO FTE''s'!R12+'Baltimore MEO FTE''s'!Q12+'Boston-New York MEO FTE''s'!Q12+'MEO Buffalo-Philadelphia FTEs'!Q12+'MEO Chicago-Columbus FTEs'!Q12+'MEO Detroit Minn-Denver FTE'!Q12+'MEO Seattle-San Fran-LA FTEs'!Q12+'MEO Kansas City-Ft. Worth FTEs'!Q12)</f>
        <v>82.5</v>
      </c>
      <c r="S12" s="37" t="s">
        <v>13</v>
      </c>
      <c r="T12" s="38">
        <f>SUM('Atlanta MEO FTE''s'!T12+'Baltimore MEO FTE''s'!S12+'Boston-New York MEO FTE''s'!S12+'MEO Buffalo-Philadelphia FTEs'!S12+'MEO Chicago-Columbus FTEs'!S12+'MEO Detroit Minn-Denver FTE'!S12+'MEO Seattle-San Fran-LA FTEs'!S12+'MEO Kansas City-Ft. Worth FTEs'!S12)</f>
        <v>4703558</v>
      </c>
    </row>
    <row r="13" spans="1:20" ht="14.25">
      <c r="A13" s="86"/>
      <c r="B13" s="87"/>
      <c r="C13" s="30">
        <f>SUM('Atlanta MEO FTE''s'!C13+'Baltimore MEO FTE''s'!B13+'Boston-New York MEO FTE''s'!B13+'MEO Buffalo-Philadelphia FTEs'!B13+'MEO Chicago-Columbus FTEs'!B13+'MEO Detroit Minn-Denver FTE'!B13+'MEO Seattle-San Fran-LA FTEs'!B13+'MEO Kansas City-Ft. Worth FTEs'!B13)</f>
        <v>1.128</v>
      </c>
      <c r="D13" s="37" t="s">
        <v>14</v>
      </c>
      <c r="E13" s="38">
        <f>SUM('Atlanta MEO FTE''s'!E13+'Baltimore MEO FTE''s'!D13+'Boston-New York MEO FTE''s'!D13+'MEO Buffalo-Philadelphia FTEs'!D13+'MEO Chicago-Columbus FTEs'!D13+'MEO Detroit Minn-Denver FTE'!D13+'MEO Seattle-San Fran-LA FTEs'!D13+'MEO Kansas City-Ft. Worth FTEs'!D13)</f>
        <v>53532</v>
      </c>
      <c r="F13" s="30">
        <f>SUM('Atlanta MEO FTE''s'!F13+'Baltimore MEO FTE''s'!E13+'Boston-New York MEO FTE''s'!E13+'MEO Buffalo-Philadelphia FTEs'!E13+'MEO Chicago-Columbus FTEs'!E13+'MEO Detroit Minn-Denver FTE'!E13+'MEO Seattle-San Fran-LA FTEs'!E13+'MEO Kansas City-Ft. Worth FTEs'!E13)</f>
        <v>8</v>
      </c>
      <c r="G13" s="37" t="s">
        <v>14</v>
      </c>
      <c r="H13" s="38">
        <f>SUM('Atlanta MEO FTE''s'!H13+'Baltimore MEO FTE''s'!G13+'Boston-New York MEO FTE''s'!G13+'MEO Buffalo-Philadelphia FTEs'!G13+'MEO Chicago-Columbus FTEs'!G13+'MEO Detroit Minn-Denver FTE'!G13+'MEO Seattle-San Fran-LA FTEs'!G13+'MEO Kansas City-Ft. Worth FTEs'!G13)</f>
        <v>394304</v>
      </c>
      <c r="I13" s="30">
        <f>SUM('Atlanta MEO FTE''s'!I13+'Baltimore MEO FTE''s'!H13+'Boston-New York MEO FTE''s'!H13+'MEO Buffalo-Philadelphia FTEs'!H13+'MEO Chicago-Columbus FTEs'!H13+'MEO Detroit Minn-Denver FTE'!H13+'MEO Seattle-San Fran-LA FTEs'!H13+'MEO Kansas City-Ft. Worth FTEs'!H13)</f>
        <v>8</v>
      </c>
      <c r="J13" s="37" t="s">
        <v>14</v>
      </c>
      <c r="K13" s="38">
        <f>SUM('Atlanta MEO FTE''s'!K13+'Baltimore MEO FTE''s'!J13+'Boston-New York MEO FTE''s'!J13+'MEO Buffalo-Philadelphia FTEs'!J13+'MEO Chicago-Columbus FTEs'!J13+'MEO Detroit Minn-Denver FTE'!J13+'MEO Seattle-San Fran-LA FTEs'!J13+'MEO Kansas City-Ft. Worth FTEs'!J13)</f>
        <v>404142</v>
      </c>
      <c r="L13" s="30">
        <f>SUM('Atlanta MEO FTE''s'!L13+'Baltimore MEO FTE''s'!K13+'Boston-New York MEO FTE''s'!K13+'MEO Buffalo-Philadelphia FTEs'!K13+'MEO Chicago-Columbus FTEs'!K13+'MEO Detroit Minn-Denver FTE'!K13+'MEO Seattle-San Fran-LA FTEs'!K13+'MEO Kansas City-Ft. Worth FTEs'!K13)</f>
        <v>8</v>
      </c>
      <c r="M13" s="37" t="s">
        <v>14</v>
      </c>
      <c r="N13" s="38">
        <f>SUM('Atlanta MEO FTE''s'!N13+'Baltimore MEO FTE''s'!M13+'Boston-New York MEO FTE''s'!M13+'MEO Buffalo-Philadelphia FTEs'!M13+'MEO Chicago-Columbus FTEs'!M13+'MEO Detroit Minn-Denver FTE'!M13+'MEO Seattle-San Fran-LA FTEs'!M13+'MEO Kansas City-Ft. Worth FTEs'!M13)</f>
        <v>404142</v>
      </c>
      <c r="O13" s="30">
        <f>SUM('Atlanta MEO FTE''s'!O13+'Baltimore MEO FTE''s'!N13+'Boston-New York MEO FTE''s'!N13+'MEO Buffalo-Philadelphia FTEs'!N13+'MEO Chicago-Columbus FTEs'!N13+'MEO Detroit Minn-Denver FTE'!N13+'MEO Seattle-San Fran-LA FTEs'!N13+'MEO Kansas City-Ft. Worth FTEs'!N13)</f>
        <v>8</v>
      </c>
      <c r="P13" s="37" t="s">
        <v>14</v>
      </c>
      <c r="Q13" s="38">
        <f>SUM('Atlanta MEO FTE''s'!Q13+'Baltimore MEO FTE''s'!P13+'Boston-New York MEO FTE''s'!P13+'MEO Buffalo-Philadelphia FTEs'!P13+'MEO Chicago-Columbus FTEs'!P13+'MEO Detroit Minn-Denver FTE'!P13+'MEO Seattle-San Fran-LA FTEs'!P13+'MEO Kansas City-Ft. Worth FTEs'!P13)</f>
        <v>404142</v>
      </c>
      <c r="R13" s="30">
        <f>SUM('Atlanta MEO FTE''s'!R13+'Baltimore MEO FTE''s'!Q13+'Boston-New York MEO FTE''s'!Q13+'MEO Buffalo-Philadelphia FTEs'!Q13+'MEO Chicago-Columbus FTEs'!Q13+'MEO Detroit Minn-Denver FTE'!Q13+'MEO Seattle-San Fran-LA FTEs'!Q13+'MEO Kansas City-Ft. Worth FTEs'!Q13)</f>
        <v>8</v>
      </c>
      <c r="S13" s="37" t="s">
        <v>14</v>
      </c>
      <c r="T13" s="38">
        <f>SUM('Atlanta MEO FTE''s'!T13+'Baltimore MEO FTE''s'!S13+'Boston-New York MEO FTE''s'!S13+'MEO Buffalo-Philadelphia FTEs'!S13+'MEO Chicago-Columbus FTEs'!S13+'MEO Detroit Minn-Denver FTE'!S13+'MEO Seattle-San Fran-LA FTEs'!S13+'MEO Kansas City-Ft. Worth FTEs'!S13)</f>
        <v>404142</v>
      </c>
    </row>
    <row r="14" spans="1:20" ht="14.25">
      <c r="A14" s="86"/>
      <c r="B14" s="87"/>
      <c r="C14" s="71" t="s">
        <v>18</v>
      </c>
      <c r="D14" s="50"/>
      <c r="E14" s="38"/>
      <c r="F14" s="71" t="s">
        <v>18</v>
      </c>
      <c r="G14" s="50"/>
      <c r="H14" s="38"/>
      <c r="I14" s="71" t="s">
        <v>18</v>
      </c>
      <c r="J14" s="43"/>
      <c r="K14" s="38"/>
      <c r="L14" s="71" t="s">
        <v>18</v>
      </c>
      <c r="M14" s="43"/>
      <c r="N14" s="38"/>
      <c r="O14" s="71" t="s">
        <v>18</v>
      </c>
      <c r="P14" s="43"/>
      <c r="Q14" s="38"/>
      <c r="R14" s="71" t="s">
        <v>18</v>
      </c>
      <c r="S14" s="43"/>
      <c r="T14" s="38"/>
    </row>
    <row r="15" spans="1:20" ht="14.25">
      <c r="A15" s="86"/>
      <c r="B15" s="87"/>
      <c r="C15" s="30">
        <f>SUM('Atlanta MEO FTE''s'!C15+'Baltimore MEO FTE''s'!B15+'Boston-New York MEO FTE''s'!B15+'MEO Buffalo-Philadelphia FTEs'!B15+'MEO Chicago-Columbus FTEs'!B15+'MEO Detroit Minn-Denver FTE'!B15+'MEO Seattle-San Fran-LA FTEs'!B15+'MEO Kansas City-Ft. Worth FTEs'!B15)</f>
        <v>3.8289999999999997</v>
      </c>
      <c r="D15" s="37" t="s">
        <v>15</v>
      </c>
      <c r="E15" s="38">
        <f>SUM('Atlanta MEO FTE''s'!E15+'Baltimore MEO FTE''s'!D15+'Boston-New York MEO FTE''s'!D15+'MEO Buffalo-Philadelphia FTEs'!D15+'MEO Chicago-Columbus FTEs'!D15+'MEO Detroit Minn-Denver FTE'!D15+'MEO Seattle-San Fran-LA FTEs'!D15+'MEO Kansas City-Ft. Worth FTEs'!D15)</f>
        <v>423915</v>
      </c>
      <c r="F15" s="30">
        <f>SUM('Atlanta MEO FTE''s'!F15+'Baltimore MEO FTE''s'!E15+'Boston-New York MEO FTE''s'!E15+'MEO Buffalo-Philadelphia FTEs'!E15+'MEO Chicago-Columbus FTEs'!E15+'MEO Detroit Minn-Denver FTE'!E15+'MEO Seattle-San Fran-LA FTEs'!E15+'MEO Kansas City-Ft. Worth FTEs'!E15)</f>
        <v>8</v>
      </c>
      <c r="G15" s="37" t="s">
        <v>15</v>
      </c>
      <c r="H15" s="38">
        <f>SUM('Atlanta MEO FTE''s'!H15+'Baltimore MEO FTE''s'!G15+'Boston-New York MEO FTE''s'!G15+'MEO Buffalo-Philadelphia FTEs'!G15+'MEO Chicago-Columbus FTEs'!G15+'MEO Detroit Minn-Denver FTE'!G15+'MEO Seattle-San Fran-LA FTEs'!G15+'MEO Kansas City-Ft. Worth FTEs'!G15)</f>
        <v>926581</v>
      </c>
      <c r="I15" s="30">
        <f>SUM('Atlanta MEO FTE''s'!I15+'Baltimore MEO FTE''s'!H15+'Boston-New York MEO FTE''s'!H15+'MEO Buffalo-Philadelphia FTEs'!H15+'MEO Chicago-Columbus FTEs'!H15+'MEO Detroit Minn-Denver FTE'!H15+'MEO Seattle-San Fran-LA FTEs'!H15+'MEO Kansas City-Ft. Worth FTEs'!H15)</f>
        <v>8</v>
      </c>
      <c r="J15" s="37" t="s">
        <v>15</v>
      </c>
      <c r="K15" s="38">
        <f>SUM('Atlanta MEO FTE''s'!K15+'Baltimore MEO FTE''s'!J15+'Boston-New York MEO FTE''s'!J15+'MEO Buffalo-Philadelphia FTEs'!J15+'MEO Chicago-Columbus FTEs'!J15+'MEO Detroit Minn-Denver FTE'!J15+'MEO Seattle-San Fran-LA FTEs'!J15+'MEO Kansas City-Ft. Worth FTEs'!J15)</f>
        <v>968197</v>
      </c>
      <c r="L15" s="30">
        <f>SUM('Atlanta MEO FTE''s'!L15+'Baltimore MEO FTE''s'!K15+'Boston-New York MEO FTE''s'!K15+'MEO Buffalo-Philadelphia FTEs'!K15+'MEO Chicago-Columbus FTEs'!K15+'MEO Detroit Minn-Denver FTE'!K15+'MEO Seattle-San Fran-LA FTEs'!K15+'MEO Kansas City-Ft. Worth FTEs'!K15)</f>
        <v>8</v>
      </c>
      <c r="M15" s="37" t="s">
        <v>15</v>
      </c>
      <c r="N15" s="38">
        <f>SUM('Atlanta MEO FTE''s'!N15+'Baltimore MEO FTE''s'!M15+'Boston-New York MEO FTE''s'!M15+'MEO Buffalo-Philadelphia FTEs'!M15+'MEO Chicago-Columbus FTEs'!M15+'MEO Detroit Minn-Denver FTE'!M15+'MEO Seattle-San Fran-LA FTEs'!M15+'MEO Kansas City-Ft. Worth FTEs'!M15)</f>
        <v>1006045</v>
      </c>
      <c r="O15" s="30">
        <f>SUM('Atlanta MEO FTE''s'!O15+'Baltimore MEO FTE''s'!N15+'Boston-New York MEO FTE''s'!N15+'MEO Buffalo-Philadelphia FTEs'!N15+'MEO Chicago-Columbus FTEs'!N15+'MEO Detroit Minn-Denver FTE'!N15+'MEO Seattle-San Fran-LA FTEs'!N15+'MEO Kansas City-Ft. Worth FTEs'!N15)</f>
        <v>8</v>
      </c>
      <c r="P15" s="37" t="s">
        <v>15</v>
      </c>
      <c r="Q15" s="38">
        <f>SUM('Atlanta MEO FTE''s'!Q15+'Baltimore MEO FTE''s'!P15+'Boston-New York MEO FTE''s'!P15+'MEO Buffalo-Philadelphia FTEs'!P15+'MEO Chicago-Columbus FTEs'!P15+'MEO Detroit Minn-Denver FTE'!P15+'MEO Seattle-San Fran-LA FTEs'!P15+'MEO Kansas City-Ft. Worth FTEs'!P15)</f>
        <v>1048303</v>
      </c>
      <c r="R15" s="30">
        <f>SUM('Atlanta MEO FTE''s'!R15+'Baltimore MEO FTE''s'!Q15+'Boston-New York MEO FTE''s'!Q15+'MEO Buffalo-Philadelphia FTEs'!Q15+'MEO Chicago-Columbus FTEs'!Q15+'MEO Detroit Minn-Denver FTE'!Q15+'MEO Seattle-San Fran-LA FTEs'!Q15+'MEO Kansas City-Ft. Worth FTEs'!Q15)</f>
        <v>8</v>
      </c>
      <c r="S15" s="37" t="s">
        <v>15</v>
      </c>
      <c r="T15" s="38">
        <f>SUM('Atlanta MEO FTE''s'!T15+'Baltimore MEO FTE''s'!S15+'Boston-New York MEO FTE''s'!S15+'MEO Buffalo-Philadelphia FTEs'!S15+'MEO Chicago-Columbus FTEs'!S15+'MEO Detroit Minn-Denver FTE'!S15+'MEO Seattle-San Fran-LA FTEs'!S15+'MEO Kansas City-Ft. Worth FTEs'!S15)</f>
        <v>1092329</v>
      </c>
    </row>
    <row r="16" spans="1:20" ht="14.25">
      <c r="A16" s="86"/>
      <c r="B16" s="87"/>
      <c r="C16" s="30">
        <f>SUM('Atlanta MEO FTE''s'!C16+'Baltimore MEO FTE''s'!B16+'Boston-New York MEO FTE''s'!B16+'MEO Buffalo-Philadelphia FTEs'!B16+'MEO Chicago-Columbus FTEs'!B16+'MEO Detroit Minn-Denver FTE'!B16+'MEO Seattle-San Fran-LA FTEs'!B16+'MEO Kansas City-Ft. Worth FTEs'!B16)</f>
        <v>4.503</v>
      </c>
      <c r="D16" s="37" t="s">
        <v>16</v>
      </c>
      <c r="E16" s="38">
        <f>SUM('Atlanta MEO FTE''s'!E16+'Baltimore MEO FTE''s'!D16+'Boston-New York MEO FTE''s'!D16+'MEO Buffalo-Philadelphia FTEs'!D16+'MEO Chicago-Columbus FTEs'!D16+'MEO Detroit Minn-Denver FTE'!D16+'MEO Seattle-San Fran-LA FTEs'!D16+'MEO Kansas City-Ft. Worth FTEs'!D16)</f>
        <v>418438</v>
      </c>
      <c r="F16" s="30">
        <f>SUM('Atlanta MEO FTE''s'!F16+'Baltimore MEO FTE''s'!E16+'Boston-New York MEO FTE''s'!E16+'MEO Buffalo-Philadelphia FTEs'!E16+'MEO Chicago-Columbus FTEs'!E16+'MEO Detroit Minn-Denver FTE'!E16+'MEO Seattle-San Fran-LA FTEs'!E16+'MEO Kansas City-Ft. Worth FTEs'!E16)</f>
        <v>20</v>
      </c>
      <c r="G16" s="37" t="s">
        <v>16</v>
      </c>
      <c r="H16" s="38">
        <f>SUM('Atlanta MEO FTE''s'!H16+'Baltimore MEO FTE''s'!G16+'Boston-New York MEO FTE''s'!G16+'MEO Buffalo-Philadelphia FTEs'!G16+'MEO Chicago-Columbus FTEs'!G16+'MEO Detroit Minn-Denver FTE'!G16+'MEO Seattle-San Fran-LA FTEs'!G16+'MEO Kansas City-Ft. Worth FTEs'!G16)</f>
        <v>1944889</v>
      </c>
      <c r="I16" s="30">
        <f>SUM('Atlanta MEO FTE''s'!I16+'Baltimore MEO FTE''s'!H16+'Boston-New York MEO FTE''s'!H16+'MEO Buffalo-Philadelphia FTEs'!H16+'MEO Chicago-Columbus FTEs'!H16+'MEO Detroit Minn-Denver FTE'!H16+'MEO Seattle-San Fran-LA FTEs'!H16+'MEO Kansas City-Ft. Worth FTEs'!H16)</f>
        <v>21</v>
      </c>
      <c r="J16" s="43" t="s">
        <v>16</v>
      </c>
      <c r="K16" s="38">
        <f>SUM('Atlanta MEO FTE''s'!K16+'Baltimore MEO FTE''s'!J16+'Boston-New York MEO FTE''s'!J16+'MEO Buffalo-Philadelphia FTEs'!J16+'MEO Chicago-Columbus FTEs'!J16+'MEO Detroit Minn-Denver FTE'!J16+'MEO Seattle-San Fran-LA FTEs'!J16+'MEO Kansas City-Ft. Worth FTEs'!J16)</f>
        <v>2133220</v>
      </c>
      <c r="L16" s="30">
        <f>SUM('Atlanta MEO FTE''s'!L16+'Baltimore MEO FTE''s'!K16+'Boston-New York MEO FTE''s'!K16+'MEO Buffalo-Philadelphia FTEs'!K16+'MEO Chicago-Columbus FTEs'!K16+'MEO Detroit Minn-Denver FTE'!K16+'MEO Seattle-San Fran-LA FTEs'!K16+'MEO Kansas City-Ft. Worth FTEs'!K16)</f>
        <v>22</v>
      </c>
      <c r="M16" s="37" t="s">
        <v>16</v>
      </c>
      <c r="N16" s="38">
        <f>SUM('Atlanta MEO FTE''s'!N16+'Baltimore MEO FTE''s'!M16+'Boston-New York MEO FTE''s'!M16+'MEO Buffalo-Philadelphia FTEs'!M16+'MEO Chicago-Columbus FTEs'!M16+'MEO Detroit Minn-Denver FTE'!M16+'MEO Seattle-San Fran-LA FTEs'!M16+'MEO Kansas City-Ft. Worth FTEs'!M16)</f>
        <v>2321804</v>
      </c>
      <c r="O16" s="30">
        <f>SUM('Atlanta MEO FTE''s'!O16+'Baltimore MEO FTE''s'!N16+'Boston-New York MEO FTE''s'!N16+'MEO Buffalo-Philadelphia FTEs'!N16+'MEO Chicago-Columbus FTEs'!N16+'MEO Detroit Minn-Denver FTE'!N16+'MEO Seattle-San Fran-LA FTEs'!N16+'MEO Kansas City-Ft. Worth FTEs'!N16)</f>
        <v>24</v>
      </c>
      <c r="P16" s="37" t="s">
        <v>16</v>
      </c>
      <c r="Q16" s="38">
        <f>SUM('Atlanta MEO FTE''s'!Q16+'Baltimore MEO FTE''s'!P16+'Boston-New York MEO FTE''s'!P16+'MEO Buffalo-Philadelphia FTEs'!P16+'MEO Chicago-Columbus FTEs'!P16+'MEO Detroit Minn-Denver FTE'!P16+'MEO Seattle-San Fran-LA FTEs'!P16+'MEO Kansas City-Ft. Worth FTEs'!P16)</f>
        <v>2644604</v>
      </c>
      <c r="R16" s="30">
        <f>SUM('Atlanta MEO FTE''s'!R16+'Baltimore MEO FTE''s'!Q16+'Boston-New York MEO FTE''s'!Q16+'MEO Buffalo-Philadelphia FTEs'!Q16+'MEO Chicago-Columbus FTEs'!Q16+'MEO Detroit Minn-Denver FTE'!Q16+'MEO Seattle-San Fran-LA FTEs'!Q16+'MEO Kansas City-Ft. Worth FTEs'!Q16)</f>
        <v>25</v>
      </c>
      <c r="S16" s="37" t="s">
        <v>16</v>
      </c>
      <c r="T16" s="38">
        <f>SUM('Atlanta MEO FTE''s'!T16+'Baltimore MEO FTE''s'!S16+'Boston-New York MEO FTE''s'!S16+'MEO Buffalo-Philadelphia FTEs'!S16+'MEO Chicago-Columbus FTEs'!S16+'MEO Detroit Minn-Denver FTE'!S16+'MEO Seattle-San Fran-LA FTEs'!S16+'MEO Kansas City-Ft. Worth FTEs'!S16)</f>
        <v>2869597</v>
      </c>
    </row>
    <row r="17" spans="1:20" ht="14.25">
      <c r="A17" s="86"/>
      <c r="B17" s="87"/>
      <c r="C17" s="30">
        <f>SUM('Atlanta MEO FTE''s'!C17+'Baltimore MEO FTE''s'!B17+'Boston-New York MEO FTE''s'!B17+'MEO Buffalo-Philadelphia FTEs'!B17+'MEO Chicago-Columbus FTEs'!B17+'MEO Detroit Minn-Denver FTE'!B17+'MEO Seattle-San Fran-LA FTEs'!B17+'MEO Kansas City-Ft. Worth FTEs'!B17)</f>
        <v>3.4210000000000003</v>
      </c>
      <c r="D17" s="37" t="s">
        <v>11</v>
      </c>
      <c r="E17" s="38">
        <f>SUM('Atlanta MEO FTE''s'!E17+'Baltimore MEO FTE''s'!D17+'Boston-New York MEO FTE''s'!D17+'MEO Buffalo-Philadelphia FTEs'!D17+'MEO Chicago-Columbus FTEs'!D17+'MEO Detroit Minn-Denver FTE'!D17+'MEO Seattle-San Fran-LA FTEs'!D17+'MEO Kansas City-Ft. Worth FTEs'!D17)</f>
        <v>266067</v>
      </c>
      <c r="F17" s="30">
        <f>SUM('Atlanta MEO FTE''s'!F17+'Baltimore MEO FTE''s'!E17+'Boston-New York MEO FTE''s'!E17+'MEO Buffalo-Philadelphia FTEs'!E17+'MEO Chicago-Columbus FTEs'!E17+'MEO Detroit Minn-Denver FTE'!E17+'MEO Seattle-San Fran-LA FTEs'!E17+'MEO Kansas City-Ft. Worth FTEs'!E17)</f>
        <v>16</v>
      </c>
      <c r="G17" s="37" t="s">
        <v>11</v>
      </c>
      <c r="H17" s="38">
        <f>SUM('Atlanta MEO FTE''s'!H17+'Baltimore MEO FTE''s'!G17+'Boston-New York MEO FTE''s'!G17+'MEO Buffalo-Philadelphia FTEs'!G17+'MEO Chicago-Columbus FTEs'!G17+'MEO Detroit Minn-Denver FTE'!G17+'MEO Seattle-San Fran-LA FTEs'!G17+'MEO Kansas City-Ft. Worth FTEs'!G17)</f>
        <v>1300245</v>
      </c>
      <c r="I17" s="30">
        <f>SUM('Atlanta MEO FTE''s'!I17+'Baltimore MEO FTE''s'!H17+'Boston-New York MEO FTE''s'!H17+'MEO Buffalo-Philadelphia FTEs'!H17+'MEO Chicago-Columbus FTEs'!H17+'MEO Detroit Minn-Denver FTE'!H17+'MEO Seattle-San Fran-LA FTEs'!H17+'MEO Kansas City-Ft. Worth FTEs'!H17)</f>
        <v>16</v>
      </c>
      <c r="J17" s="37" t="s">
        <v>11</v>
      </c>
      <c r="K17" s="38">
        <f>SUM('Atlanta MEO FTE''s'!K17+'Baltimore MEO FTE''s'!J17+'Boston-New York MEO FTE''s'!J17+'MEO Buffalo-Philadelphia FTEs'!J17+'MEO Chicago-Columbus FTEs'!J17+'MEO Detroit Minn-Denver FTE'!J17+'MEO Seattle-San Fran-LA FTEs'!J17+'MEO Kansas City-Ft. Worth FTEs'!J17)</f>
        <v>1358647</v>
      </c>
      <c r="L17" s="30">
        <f>SUM('Atlanta MEO FTE''s'!L17+'Baltimore MEO FTE''s'!K17+'Boston-New York MEO FTE''s'!K17+'MEO Buffalo-Philadelphia FTEs'!K17+'MEO Chicago-Columbus FTEs'!K17+'MEO Detroit Minn-Denver FTE'!K17+'MEO Seattle-San Fran-LA FTEs'!K17+'MEO Kansas City-Ft. Worth FTEs'!K17)</f>
        <v>17</v>
      </c>
      <c r="M17" s="37" t="s">
        <v>11</v>
      </c>
      <c r="N17" s="38">
        <f>SUM('Atlanta MEO FTE''s'!N17+'Baltimore MEO FTE''s'!M17+'Boston-New York MEO FTE''s'!M17+'MEO Buffalo-Philadelphia FTEs'!M17+'MEO Chicago-Columbus FTEs'!M17+'MEO Detroit Minn-Denver FTE'!M17+'MEO Seattle-San Fran-LA FTEs'!M17+'MEO Kansas City-Ft. Worth FTEs'!M17)</f>
        <v>1499302</v>
      </c>
      <c r="O17" s="30">
        <f>SUM('Atlanta MEO FTE''s'!O17+'Baltimore MEO FTE''s'!N17+'Boston-New York MEO FTE''s'!N17+'MEO Buffalo-Philadelphia FTEs'!N17+'MEO Chicago-Columbus FTEs'!N17+'MEO Detroit Minn-Denver FTE'!N17+'MEO Seattle-San Fran-LA FTEs'!N17+'MEO Kansas City-Ft. Worth FTEs'!N17)</f>
        <v>17</v>
      </c>
      <c r="P17" s="37" t="s">
        <v>11</v>
      </c>
      <c r="Q17" s="38">
        <f>SUM('Atlanta MEO FTE''s'!Q17+'Baltimore MEO FTE''s'!P17+'Boston-New York MEO FTE''s'!P17+'MEO Buffalo-Philadelphia FTEs'!P17+'MEO Chicago-Columbus FTEs'!P17+'MEO Detroit Minn-Denver FTE'!P17+'MEO Seattle-San Fran-LA FTEs'!P17+'MEO Kansas City-Ft. Worth FTEs'!P17)</f>
        <v>1562270</v>
      </c>
      <c r="R17" s="30">
        <f>SUM('Atlanta MEO FTE''s'!R17+'Baltimore MEO FTE''s'!Q17+'Boston-New York MEO FTE''s'!Q17+'MEO Buffalo-Philadelphia FTEs'!Q17+'MEO Chicago-Columbus FTEs'!Q17+'MEO Detroit Minn-Denver FTE'!Q17+'MEO Seattle-San Fran-LA FTEs'!Q17+'MEO Kansas City-Ft. Worth FTEs'!Q17)</f>
        <v>18</v>
      </c>
      <c r="S17" s="37" t="s">
        <v>11</v>
      </c>
      <c r="T17" s="38">
        <f>SUM('Atlanta MEO FTE''s'!T17+'Baltimore MEO FTE''s'!S17+'Boston-New York MEO FTE''s'!S17+'MEO Buffalo-Philadelphia FTEs'!S17+'MEO Chicago-Columbus FTEs'!S17+'MEO Detroit Minn-Denver FTE'!S17+'MEO Seattle-San Fran-LA FTEs'!S17+'MEO Kansas City-Ft. Worth FTEs'!S17)</f>
        <v>1722938</v>
      </c>
    </row>
    <row r="18" spans="1:20" ht="14.25">
      <c r="A18" s="86"/>
      <c r="B18" s="87"/>
      <c r="C18" s="30">
        <f>SUM('Atlanta MEO FTE''s'!C18+'Baltimore MEO FTE''s'!B18+'Boston-New York MEO FTE''s'!B18+'MEO Buffalo-Philadelphia FTEs'!B18+'MEO Chicago-Columbus FTEs'!B18+'MEO Detroit Minn-Denver FTE'!B18+'MEO Seattle-San Fran-LA FTEs'!B18+'MEO Kansas City-Ft. Worth FTEs'!B18)</f>
        <v>2.701</v>
      </c>
      <c r="D18" s="37" t="s">
        <v>12</v>
      </c>
      <c r="E18" s="38">
        <f>SUM('Atlanta MEO FTE''s'!E18+'Baltimore MEO FTE''s'!D18+'Boston-New York MEO FTE''s'!D18+'MEO Buffalo-Philadelphia FTEs'!D18+'MEO Chicago-Columbus FTEs'!D18+'MEO Detroit Minn-Denver FTE'!D18+'MEO Seattle-San Fran-LA FTEs'!D18+'MEO Kansas City-Ft. Worth FTEs'!D18)</f>
        <v>173426</v>
      </c>
      <c r="F18" s="30">
        <f>SUM('Atlanta MEO FTE''s'!F18+'Baltimore MEO FTE''s'!E18+'Boston-New York MEO FTE''s'!E18+'MEO Buffalo-Philadelphia FTEs'!E18+'MEO Chicago-Columbus FTEs'!E18+'MEO Detroit Minn-Denver FTE'!E18+'MEO Seattle-San Fran-LA FTEs'!E18+'MEO Kansas City-Ft. Worth FTEs'!E18)</f>
        <v>14</v>
      </c>
      <c r="G18" s="37" t="s">
        <v>12</v>
      </c>
      <c r="H18" s="38">
        <f>SUM('Atlanta MEO FTE''s'!H18+'Baltimore MEO FTE''s'!G18+'Boston-New York MEO FTE''s'!G18+'MEO Buffalo-Philadelphia FTEs'!G18+'MEO Chicago-Columbus FTEs'!G18+'MEO Detroit Minn-Denver FTE'!G18+'MEO Seattle-San Fran-LA FTEs'!G18+'MEO Kansas City-Ft. Worth FTEs'!G18)</f>
        <v>941331</v>
      </c>
      <c r="I18" s="30">
        <f>SUM('Atlanta MEO FTE''s'!I18+'Baltimore MEO FTE''s'!H18+'Boston-New York MEO FTE''s'!H18+'MEO Buffalo-Philadelphia FTEs'!H18+'MEO Chicago-Columbus FTEs'!H18+'MEO Detroit Minn-Denver FTE'!H18+'MEO Seattle-San Fran-LA FTEs'!H18+'MEO Kansas City-Ft. Worth FTEs'!H18)</f>
        <v>14</v>
      </c>
      <c r="J18" s="37" t="s">
        <v>12</v>
      </c>
      <c r="K18" s="38">
        <f>SUM('Atlanta MEO FTE''s'!K18+'Baltimore MEO FTE''s'!J18+'Boston-New York MEO FTE''s'!J18+'MEO Buffalo-Philadelphia FTEs'!J18+'MEO Chicago-Columbus FTEs'!J18+'MEO Detroit Minn-Denver FTE'!J18+'MEO Seattle-San Fran-LA FTEs'!J18+'MEO Kansas City-Ft. Worth FTEs'!J18)</f>
        <v>983614</v>
      </c>
      <c r="L18" s="30">
        <f>SUM('Atlanta MEO FTE''s'!L18+'Baltimore MEO FTE''s'!K18+'Boston-New York MEO FTE''s'!K18+'MEO Buffalo-Philadelphia FTEs'!K18+'MEO Chicago-Columbus FTEs'!K18+'MEO Detroit Minn-Denver FTE'!K18+'MEO Seattle-San Fran-LA FTEs'!K18+'MEO Kansas City-Ft. Worth FTEs'!K18)</f>
        <v>18</v>
      </c>
      <c r="M18" s="37" t="s">
        <v>12</v>
      </c>
      <c r="N18" s="38">
        <f>SUM('Atlanta MEO FTE''s'!N18+'Baltimore MEO FTE''s'!M18+'Boston-New York MEO FTE''s'!M18+'MEO Buffalo-Philadelphia FTEs'!M18+'MEO Chicago-Columbus FTEs'!M18+'MEO Detroit Minn-Denver FTE'!M18+'MEO Seattle-San Fran-LA FTEs'!M18+'MEO Kansas City-Ft. Worth FTEs'!M18)</f>
        <v>1311470</v>
      </c>
      <c r="O18" s="30">
        <f>SUM('Atlanta MEO FTE''s'!O18+'Baltimore MEO FTE''s'!N18+'Boston-New York MEO FTE''s'!N18+'MEO Buffalo-Philadelphia FTEs'!N18+'MEO Chicago-Columbus FTEs'!N18+'MEO Detroit Minn-Denver FTE'!N18+'MEO Seattle-San Fran-LA FTEs'!N18+'MEO Kansas City-Ft. Worth FTEs'!N18)</f>
        <v>19</v>
      </c>
      <c r="P18" s="37" t="s">
        <v>12</v>
      </c>
      <c r="Q18" s="38">
        <f>SUM('Atlanta MEO FTE''s'!Q18+'Baltimore MEO FTE''s'!P18+'Boston-New York MEO FTE''s'!P18+'MEO Buffalo-Philadelphia FTEs'!P18+'MEO Chicago-Columbus FTEs'!P18+'MEO Detroit Minn-Denver FTE'!P18+'MEO Seattle-San Fran-LA FTEs'!P18+'MEO Kansas City-Ft. Worth FTEs'!P18)</f>
        <v>1441941</v>
      </c>
      <c r="R18" s="30">
        <f>SUM('Atlanta MEO FTE''s'!R18+'Baltimore MEO FTE''s'!Q18+'Boston-New York MEO FTE''s'!Q18+'MEO Buffalo-Philadelphia FTEs'!Q18+'MEO Chicago-Columbus FTEs'!Q18+'MEO Detroit Minn-Denver FTE'!Q18+'MEO Seattle-San Fran-LA FTEs'!Q18+'MEO Kansas City-Ft. Worth FTEs'!Q18)</f>
        <v>19</v>
      </c>
      <c r="S18" s="37" t="s">
        <v>12</v>
      </c>
      <c r="T18" s="38">
        <f>SUM('Atlanta MEO FTE''s'!T18+'Baltimore MEO FTE''s'!S18+'Boston-New York MEO FTE''s'!S18+'MEO Buffalo-Philadelphia FTEs'!S18+'MEO Chicago-Columbus FTEs'!S18+'MEO Detroit Minn-Denver FTE'!S18+'MEO Seattle-San Fran-LA FTEs'!S18+'MEO Kansas City-Ft. Worth FTEs'!S18)</f>
        <v>1502503</v>
      </c>
    </row>
    <row r="19" spans="1:20" ht="14.25">
      <c r="A19" s="86"/>
      <c r="B19" s="87"/>
      <c r="C19" s="30">
        <f>SUM('Atlanta MEO FTE''s'!C19+'Baltimore MEO FTE''s'!B19+'Boston-New York MEO FTE''s'!B19+'MEO Buffalo-Philadelphia FTEs'!B19+'MEO Chicago-Columbus FTEs'!B19+'MEO Detroit Minn-Denver FTE'!B19+'MEO Seattle-San Fran-LA FTEs'!B19+'MEO Kansas City-Ft. Worth FTEs'!B19)</f>
        <v>2.186</v>
      </c>
      <c r="D19" s="37" t="s">
        <v>13</v>
      </c>
      <c r="E19" s="38">
        <f>SUM('Atlanta MEO FTE''s'!E19+'Baltimore MEO FTE''s'!D19+'Boston-New York MEO FTE''s'!D19+'MEO Buffalo-Philadelphia FTEs'!D19+'MEO Chicago-Columbus FTEs'!D19+'MEO Detroit Minn-Denver FTE'!D19+'MEO Seattle-San Fran-LA FTEs'!D19+'MEO Kansas City-Ft. Worth FTEs'!D19)</f>
        <v>114300</v>
      </c>
      <c r="F19" s="30">
        <f>SUM('Atlanta MEO FTE''s'!F19+'Baltimore MEO FTE''s'!E19+'Boston-New York MEO FTE''s'!E19+'MEO Buffalo-Philadelphia FTEs'!E19+'MEO Chicago-Columbus FTEs'!E19+'MEO Detroit Minn-Denver FTE'!E19+'MEO Seattle-San Fran-LA FTEs'!E19+'MEO Kansas City-Ft. Worth FTEs'!E19)</f>
        <v>15</v>
      </c>
      <c r="G19" s="37" t="s">
        <v>13</v>
      </c>
      <c r="H19" s="38">
        <f>SUM('Atlanta MEO FTE''s'!H19+'Baltimore MEO FTE''s'!G19+'Boston-New York MEO FTE''s'!G19+'MEO Buffalo-Philadelphia FTEs'!G19+'MEO Chicago-Columbus FTEs'!G19+'MEO Detroit Minn-Denver FTE'!G19+'MEO Seattle-San Fran-LA FTEs'!G19+'MEO Kansas City-Ft. Worth FTEs'!G19)</f>
        <v>820765</v>
      </c>
      <c r="I19" s="30">
        <f>SUM('Atlanta MEO FTE''s'!I19+'Baltimore MEO FTE''s'!H19+'Boston-New York MEO FTE''s'!H19+'MEO Buffalo-Philadelphia FTEs'!H19+'MEO Chicago-Columbus FTEs'!H19+'MEO Detroit Minn-Denver FTE'!H19+'MEO Seattle-San Fran-LA FTEs'!H19+'MEO Kansas City-Ft. Worth FTEs'!H19)</f>
        <v>16</v>
      </c>
      <c r="J19" s="37" t="s">
        <v>13</v>
      </c>
      <c r="K19" s="38">
        <f>SUM('Atlanta MEO FTE''s'!K19+'Baltimore MEO FTE''s'!J19+'Boston-New York MEO FTE''s'!J19+'MEO Buffalo-Philadelphia FTEs'!J19+'MEO Chicago-Columbus FTEs'!J19+'MEO Detroit Minn-Denver FTE'!J19+'MEO Seattle-San Fran-LA FTEs'!J19+'MEO Kansas City-Ft. Worth FTEs'!J19)</f>
        <v>894817</v>
      </c>
      <c r="L19" s="30">
        <f>SUM('Atlanta MEO FTE''s'!L19+'Baltimore MEO FTE''s'!K19+'Boston-New York MEO FTE''s'!K19+'MEO Buffalo-Philadelphia FTEs'!K19+'MEO Chicago-Columbus FTEs'!K19+'MEO Detroit Minn-Denver FTE'!K19+'MEO Seattle-San Fran-LA FTEs'!K19+'MEO Kansas City-Ft. Worth FTEs'!K19)</f>
        <v>16</v>
      </c>
      <c r="M19" s="37" t="s">
        <v>13</v>
      </c>
      <c r="N19" s="38">
        <f>SUM('Atlanta MEO FTE''s'!N19+'Baltimore MEO FTE''s'!M19+'Boston-New York MEO FTE''s'!M19+'MEO Buffalo-Philadelphia FTEs'!M19+'MEO Chicago-Columbus FTEs'!M19+'MEO Detroit Minn-Denver FTE'!M19+'MEO Seattle-San Fran-LA FTEs'!M19+'MEO Kansas City-Ft. Worth FTEs'!M19)</f>
        <v>894817</v>
      </c>
      <c r="O19" s="30">
        <f>SUM('Atlanta MEO FTE''s'!O19+'Baltimore MEO FTE''s'!N19+'Boston-New York MEO FTE''s'!N19+'MEO Buffalo-Philadelphia FTEs'!N19+'MEO Chicago-Columbus FTEs'!N19+'MEO Detroit Minn-Denver FTE'!N19+'MEO Seattle-San Fran-LA FTEs'!N19+'MEO Kansas City-Ft. Worth FTEs'!N19)</f>
        <v>16</v>
      </c>
      <c r="P19" s="37" t="s">
        <v>13</v>
      </c>
      <c r="Q19" s="38">
        <f>SUM('Atlanta MEO FTE''s'!Q19+'Baltimore MEO FTE''s'!P19+'Boston-New York MEO FTE''s'!P19+'MEO Buffalo-Philadelphia FTEs'!P19+'MEO Chicago-Columbus FTEs'!P19+'MEO Detroit Minn-Denver FTE'!P19+'MEO Seattle-San Fran-LA FTEs'!P19+'MEO Kansas City-Ft. Worth FTEs'!P19)</f>
        <v>894817</v>
      </c>
      <c r="R19" s="30">
        <f>SUM('Atlanta MEO FTE''s'!R19+'Baltimore MEO FTE''s'!Q19+'Boston-New York MEO FTE''s'!Q19+'MEO Buffalo-Philadelphia FTEs'!Q19+'MEO Chicago-Columbus FTEs'!Q19+'MEO Detroit Minn-Denver FTE'!Q19+'MEO Seattle-San Fran-LA FTEs'!Q19+'MEO Kansas City-Ft. Worth FTEs'!Q19)</f>
        <v>16</v>
      </c>
      <c r="S19" s="37" t="s">
        <v>13</v>
      </c>
      <c r="T19" s="38">
        <f>SUM('Atlanta MEO FTE''s'!T19+'Baltimore MEO FTE''s'!S19+'Boston-New York MEO FTE''s'!S19+'MEO Buffalo-Philadelphia FTEs'!S19+'MEO Chicago-Columbus FTEs'!S19+'MEO Detroit Minn-Denver FTE'!S19+'MEO Seattle-San Fran-LA FTEs'!S19+'MEO Kansas City-Ft. Worth FTEs'!S19)</f>
        <v>894817</v>
      </c>
    </row>
    <row r="20" spans="1:21" s="60" customFormat="1" ht="15" thickBot="1">
      <c r="A20" s="98"/>
      <c r="B20" s="99"/>
      <c r="C20" s="100">
        <f>SUM('Atlanta MEO FTE''s'!C20+'Baltimore MEO FTE''s'!B20+'Boston-New York MEO FTE''s'!B20+'MEO Buffalo-Philadelphia FTEs'!B20+'MEO Chicago-Columbus FTEs'!B20+'MEO Detroit Minn-Denver FTE'!B20+'MEO Seattle-San Fran-LA FTEs'!B20+'MEO Kansas City-Ft. Worth FTEs'!B20)</f>
        <v>0.904</v>
      </c>
      <c r="D20" s="60" t="s">
        <v>14</v>
      </c>
      <c r="E20" s="221">
        <f>SUM('Atlanta MEO FTE''s'!E20+'Baltimore MEO FTE''s'!D20+'Boston-New York MEO FTE''s'!D20+'MEO Buffalo-Philadelphia FTEs'!D20+'MEO Chicago-Columbus FTEs'!D20+'MEO Detroit Minn-Denver FTE'!D20+'MEO Seattle-San Fran-LA FTEs'!D20+'MEO Kansas City-Ft. Worth FTEs'!D20)</f>
        <v>42540</v>
      </c>
      <c r="F20" s="100">
        <f>SUM('Atlanta MEO FTE''s'!F20+'Baltimore MEO FTE''s'!E20+'Boston-New York MEO FTE''s'!E20+'MEO Buffalo-Philadelphia FTEs'!E20+'MEO Chicago-Columbus FTEs'!E20+'MEO Detroit Minn-Denver FTE'!E20+'MEO Seattle-San Fran-LA FTEs'!E20+'MEO Kansas City-Ft. Worth FTEs'!E20)</f>
        <v>8</v>
      </c>
      <c r="G20" s="60" t="s">
        <v>14</v>
      </c>
      <c r="H20" s="152">
        <f>SUM('Atlanta MEO FTE''s'!H20+'Baltimore MEO FTE''s'!G20+'Boston-New York MEO FTE''s'!G20+'MEO Buffalo-Philadelphia FTEs'!G20+'MEO Chicago-Columbus FTEs'!G20+'MEO Detroit Minn-Denver FTE'!G20+'MEO Seattle-San Fran-LA FTEs'!G20+'MEO Kansas City-Ft. Worth FTEs'!G20)</f>
        <v>395304</v>
      </c>
      <c r="I20" s="100">
        <f>SUM('Atlanta MEO FTE''s'!I20+'Baltimore MEO FTE''s'!H20+'Boston-New York MEO FTE''s'!H20+'MEO Buffalo-Philadelphia FTEs'!H20+'MEO Chicago-Columbus FTEs'!H20+'MEO Detroit Minn-Denver FTE'!H20+'MEO Seattle-San Fran-LA FTEs'!H20+'MEO Kansas City-Ft. Worth FTEs'!H20)</f>
        <v>8</v>
      </c>
      <c r="J20" s="60" t="s">
        <v>14</v>
      </c>
      <c r="K20" s="152">
        <f>SUM('Atlanta MEO FTE''s'!K20+'Baltimore MEO FTE''s'!J20+'Boston-New York MEO FTE''s'!J20+'MEO Buffalo-Philadelphia FTEs'!J20+'MEO Chicago-Columbus FTEs'!J20+'MEO Detroit Minn-Denver FTE'!J20+'MEO Seattle-San Fran-LA FTEs'!J20+'MEO Kansas City-Ft. Worth FTEs'!J20)</f>
        <v>404142</v>
      </c>
      <c r="L20" s="100">
        <f>SUM('Atlanta MEO FTE''s'!L20+'Baltimore MEO FTE''s'!K20+'Boston-New York MEO FTE''s'!K20+'MEO Buffalo-Philadelphia FTEs'!K20+'MEO Chicago-Columbus FTEs'!K20+'MEO Detroit Minn-Denver FTE'!K20+'MEO Seattle-San Fran-LA FTEs'!K20+'MEO Kansas City-Ft. Worth FTEs'!K20)</f>
        <v>8</v>
      </c>
      <c r="M20" s="60" t="s">
        <v>14</v>
      </c>
      <c r="N20" s="152">
        <f>SUM('Atlanta MEO FTE''s'!N20+'Baltimore MEO FTE''s'!M20+'Boston-New York MEO FTE''s'!M20+'MEO Buffalo-Philadelphia FTEs'!M20+'MEO Chicago-Columbus FTEs'!M20+'MEO Detroit Minn-Denver FTE'!M20+'MEO Seattle-San Fran-LA FTEs'!M20+'MEO Kansas City-Ft. Worth FTEs'!M20)</f>
        <v>404142</v>
      </c>
      <c r="O20" s="100">
        <f>SUM('Atlanta MEO FTE''s'!O20+'Baltimore MEO FTE''s'!N20+'Boston-New York MEO FTE''s'!N20+'MEO Buffalo-Philadelphia FTEs'!N20+'MEO Chicago-Columbus FTEs'!N20+'MEO Detroit Minn-Denver FTE'!N20+'MEO Seattle-San Fran-LA FTEs'!N20+'MEO Kansas City-Ft. Worth FTEs'!N20)</f>
        <v>8</v>
      </c>
      <c r="P20" s="60" t="s">
        <v>14</v>
      </c>
      <c r="Q20" s="152">
        <f>SUM('Atlanta MEO FTE''s'!Q20+'Baltimore MEO FTE''s'!P20+'Boston-New York MEO FTE''s'!P20+'MEO Buffalo-Philadelphia FTEs'!P20+'MEO Chicago-Columbus FTEs'!P20+'MEO Detroit Minn-Denver FTE'!P20+'MEO Seattle-San Fran-LA FTEs'!P20+'MEO Kansas City-Ft. Worth FTEs'!P20)</f>
        <v>400852</v>
      </c>
      <c r="R20" s="100">
        <f>SUM('Atlanta MEO FTE''s'!R20+'Baltimore MEO FTE''s'!Q20+'Boston-New York MEO FTE''s'!Q20+'MEO Buffalo-Philadelphia FTEs'!Q20+'MEO Chicago-Columbus FTEs'!Q20+'MEO Detroit Minn-Denver FTE'!Q20+'MEO Seattle-San Fran-LA FTEs'!Q20+'MEO Kansas City-Ft. Worth FTEs'!Q20)</f>
        <v>8</v>
      </c>
      <c r="S20" s="60" t="s">
        <v>14</v>
      </c>
      <c r="T20" s="152">
        <f>SUM('Atlanta MEO FTE''s'!T20+'Baltimore MEO FTE''s'!S20+'Boston-New York MEO FTE''s'!S20+'MEO Buffalo-Philadelphia FTEs'!S20+'MEO Chicago-Columbus FTEs'!S20+'MEO Detroit Minn-Denver FTE'!S20+'MEO Seattle-San Fran-LA FTEs'!S20+'MEO Kansas City-Ft. Worth FTEs'!S20)</f>
        <v>404142</v>
      </c>
      <c r="U20" s="184"/>
    </row>
    <row r="21" spans="1:21" s="13" customFormat="1" ht="15">
      <c r="A21" s="84" t="s">
        <v>23</v>
      </c>
      <c r="B21" s="85"/>
      <c r="C21" s="39">
        <f>SUM('Atlanta MEO FTE''s'!C21+'Baltimore MEO FTE''s'!B21+'Boston-New York MEO FTE''s'!B21+'MEO Buffalo-Philadelphia FTEs'!B21+'MEO Chicago-Columbus FTEs'!B21+'MEO Detroit Minn-Denver FTE'!B21+'MEO Seattle-San Fran-LA FTEs'!B21+'MEO Kansas City-Ft. Worth FTEs'!B21)</f>
        <v>58.609000000000016</v>
      </c>
      <c r="D21" s="40"/>
      <c r="E21" s="41">
        <f>SUM(E5:E20)</f>
        <v>4612494</v>
      </c>
      <c r="F21" s="39">
        <f>SUM('Atlanta MEO FTE''s'!F21+'Baltimore MEO FTE''s'!E21+'Boston-New York MEO FTE''s'!E21+'MEO Buffalo-Philadelphia FTEs'!E21+'MEO Chicago-Columbus FTEs'!E21+'MEO Detroit Minn-Denver FTE'!E21+'MEO Seattle-San Fran-LA FTEs'!E21+'MEO Kansas City-Ft. Worth FTEs'!E21)</f>
        <v>224.25</v>
      </c>
      <c r="G21" s="40"/>
      <c r="H21" s="41">
        <f>SUM('Atlanta MEO FTE''s'!H21+'Baltimore MEO FTE''s'!G21+'Boston-New York MEO FTE''s'!G21+'MEO Buffalo-Philadelphia FTEs'!G21+'MEO Chicago-Columbus FTEs'!G21+'MEO Detroit Minn-Denver FTE'!G21+'MEO Seattle-San Fran-LA FTEs'!G21+'MEO Kansas City-Ft. Worth FTEs'!G21)</f>
        <v>16728741</v>
      </c>
      <c r="I21" s="39">
        <f>SUM('Atlanta MEO FTE''s'!I21+'Baltimore MEO FTE''s'!H21+'Boston-New York MEO FTE''s'!H21+'MEO Buffalo-Philadelphia FTEs'!H21+'MEO Chicago-Columbus FTEs'!H21+'MEO Detroit Minn-Denver FTE'!H21+'MEO Seattle-San Fran-LA FTEs'!H21+'MEO Kansas City-Ft. Worth FTEs'!H21)</f>
        <v>230.25</v>
      </c>
      <c r="J21" s="40"/>
      <c r="K21" s="41">
        <f>SUM('Atlanta MEO FTE''s'!K21+'Baltimore MEO FTE''s'!J21+'Boston-New York MEO FTE''s'!J21+'MEO Buffalo-Philadelphia FTEs'!J21+'MEO Chicago-Columbus FTEs'!J21+'MEO Detroit Minn-Denver FTE'!J21+'MEO Seattle-San Fran-LA FTEs'!J21+'MEO Kansas City-Ft. Worth FTEs'!J21)</f>
        <v>17771396</v>
      </c>
      <c r="L21" s="39">
        <f>SUM('Atlanta MEO FTE''s'!L21+'Baltimore MEO FTE''s'!K21+'Boston-New York MEO FTE''s'!K21+'MEO Buffalo-Philadelphia FTEs'!K21+'MEO Chicago-Columbus FTEs'!K21+'MEO Detroit Minn-Denver FTE'!K21+'MEO Seattle-San Fran-LA FTEs'!K21+'MEO Kansas City-Ft. Worth FTEs'!K21)</f>
        <v>240.75</v>
      </c>
      <c r="M21" s="40"/>
      <c r="N21" s="41">
        <f>SUM('Atlanta MEO FTE''s'!N21+'Baltimore MEO FTE''s'!M21+'Boston-New York MEO FTE''s'!M21+'MEO Buffalo-Philadelphia FTEs'!M21+'MEO Chicago-Columbus FTEs'!M21+'MEO Detroit Minn-Denver FTE'!M21+'MEO Seattle-San Fran-LA FTEs'!M21+'MEO Kansas City-Ft. Worth FTEs'!M21)</f>
        <v>19502290</v>
      </c>
      <c r="O21" s="39">
        <f>SUM('Atlanta MEO FTE''s'!O21+'Baltimore MEO FTE''s'!N21+'Boston-New York MEO FTE''s'!N21+'MEO Buffalo-Philadelphia FTEs'!N21+'MEO Chicago-Columbus FTEs'!N21+'MEO Detroit Minn-Denver FTE'!N21+'MEO Seattle-San Fran-LA FTEs'!N21+'MEO Kansas City-Ft. Worth FTEs'!N21)</f>
        <v>247</v>
      </c>
      <c r="P21" s="40"/>
      <c r="Q21" s="41">
        <f>SUM('Atlanta MEO FTE''s'!Q21+'Baltimore MEO FTE''s'!P21+'Boston-New York MEO FTE''s'!P21+'MEO Buffalo-Philadelphia FTEs'!P21+'MEO Chicago-Columbus FTEs'!P21+'MEO Detroit Minn-Denver FTE'!P21+'MEO Seattle-San Fran-LA FTEs'!P21+'MEO Kansas City-Ft. Worth FTEs'!P21)</f>
        <v>20614227</v>
      </c>
      <c r="R21" s="39">
        <f>SUM('Atlanta MEO FTE''s'!R21+'Baltimore MEO FTE''s'!Q21+'Boston-New York MEO FTE''s'!Q21+'MEO Buffalo-Philadelphia FTEs'!Q21+'MEO Chicago-Columbus FTEs'!Q21+'MEO Detroit Minn-Denver FTE'!Q21+'MEO Seattle-San Fran-LA FTEs'!Q21+'MEO Kansas City-Ft. Worth FTEs'!Q21)</f>
        <v>255</v>
      </c>
      <c r="S21" s="40"/>
      <c r="T21" s="41">
        <f>SUM('Atlanta MEO FTE''s'!T21+'Baltimore MEO FTE''s'!S21+'Boston-New York MEO FTE''s'!S21+'MEO Buffalo-Philadelphia FTEs'!S21+'MEO Chicago-Columbus FTEs'!S21+'MEO Detroit Minn-Denver FTE'!S21+'MEO Seattle-San Fran-LA FTEs'!S21+'MEO Kansas City-Ft. Worth FTEs'!S21)</f>
        <v>21721178</v>
      </c>
      <c r="U21" s="185">
        <f>SUM(E21+H21+K21+N21+Q21+T21)</f>
        <v>100950326</v>
      </c>
    </row>
    <row r="22" spans="1:20" ht="14.25">
      <c r="A22" s="86"/>
      <c r="B22" s="87"/>
      <c r="D22" s="37"/>
      <c r="E22" s="38"/>
      <c r="G22" s="37"/>
      <c r="H22" s="38">
        <f>SUM('Atlanta MEO FTE''s'!H22+'Baltimore MEO FTE''s'!G22+'Boston-New York MEO FTE''s'!G22+'MEO Buffalo-Philadelphia FTEs'!G22+'MEO Chicago-Columbus FTEs'!G22+'MEO Detroit Minn-Denver FTE'!G22+'MEO Seattle-San Fran-LA FTEs'!G22+'MEO Kansas City-Ft. Worth FTEs'!G22)</f>
        <v>0</v>
      </c>
      <c r="J22" s="37"/>
      <c r="K22" s="38">
        <f>SUM('Atlanta MEO FTE''s'!K22+'Baltimore MEO FTE''s'!J22+'Boston-New York MEO FTE''s'!J22+'MEO Buffalo-Philadelphia FTEs'!J22+'MEO Chicago-Columbus FTEs'!J22+'MEO Detroit Minn-Denver FTE'!J22+'MEO Seattle-San Fran-LA FTEs'!J22+'MEO Kansas City-Ft. Worth FTEs'!J22)</f>
        <v>0</v>
      </c>
      <c r="M22" s="37"/>
      <c r="N22" s="38">
        <f>SUM('Atlanta MEO FTE''s'!N22+'Baltimore MEO FTE''s'!M22+'Boston-New York MEO FTE''s'!M22+'MEO Buffalo-Philadelphia FTEs'!M22+'MEO Chicago-Columbus FTEs'!M22+'MEO Detroit Minn-Denver FTE'!M22+'MEO Seattle-San Fran-LA FTEs'!M22+'MEO Kansas City-Ft. Worth FTEs'!M22)</f>
        <v>0</v>
      </c>
      <c r="P22" s="37"/>
      <c r="Q22" s="38">
        <f>SUM('Atlanta MEO FTE''s'!Q22+'Baltimore MEO FTE''s'!P22+'Boston-New York MEO FTE''s'!P22+'MEO Buffalo-Philadelphia FTEs'!P22+'MEO Chicago-Columbus FTEs'!P22+'MEO Detroit Minn-Denver FTE'!P22+'MEO Seattle-San Fran-LA FTEs'!P22+'MEO Kansas City-Ft. Worth FTEs'!P22)</f>
        <v>0</v>
      </c>
      <c r="S22" s="37"/>
      <c r="T22" s="38">
        <f>SUM('Atlanta MEO FTE''s'!T22+'Baltimore MEO FTE''s'!S22+'Boston-New York MEO FTE''s'!S22+'MEO Buffalo-Philadelphia FTEs'!S22+'MEO Chicago-Columbus FTEs'!S22+'MEO Detroit Minn-Denver FTE'!S22+'MEO Seattle-San Fran-LA FTEs'!S22+'MEO Kansas City-Ft. Worth FTEs'!S22)</f>
        <v>0</v>
      </c>
    </row>
    <row r="23" spans="1:21" s="75" customFormat="1" ht="33.75" customHeight="1" thickBot="1">
      <c r="A23" s="245" t="s">
        <v>24</v>
      </c>
      <c r="B23" s="246"/>
      <c r="C23" s="59">
        <f>SUM('Atlanta MEO FTE''s'!C23+'Baltimore MEO FTE''s'!B23+'Boston-New York MEO FTE''s'!B23+'MEO Buffalo-Philadelphia FTEs'!B23+'MEO Chicago-Columbus FTEs'!B23+'MEO Detroit Minn-Denver FTE'!B23+'MEO Seattle-San Fran-LA FTEs'!B23+'MEO Kansas City-Ft. Worth FTEs'!B23)</f>
        <v>8</v>
      </c>
      <c r="E23" s="167">
        <v>152829.6</v>
      </c>
      <c r="F23" s="59">
        <f>SUM('Atlanta MEO FTE''s'!F23+'Baltimore MEO FTE''s'!E23+'Boston-New York MEO FTE''s'!E23+'MEO Buffalo-Philadelphia FTEs'!E23+'MEO Chicago-Columbus FTEs'!E23+'MEO Detroit Minn-Denver FTE'!E23+'MEO Seattle-San Fran-LA FTEs'!E23+'MEO Kansas City-Ft. Worth FTEs'!E23)</f>
        <v>70.7</v>
      </c>
      <c r="H23" s="167">
        <f>SUM('Atlanta MEO FTE''s'!H23+'Baltimore MEO FTE''s'!G23+'Boston-New York MEO FTE''s'!G23+'MEO Buffalo-Philadelphia FTEs'!G23+'MEO Chicago-Columbus FTEs'!G23+'MEO Detroit Minn-Denver FTE'!G23+'MEO Seattle-San Fran-LA FTEs'!G23+'MEO Kansas City-Ft. Worth FTEs'!G23)</f>
        <v>3714950.16</v>
      </c>
      <c r="I23" s="59">
        <f>SUM('Atlanta MEO FTE''s'!I23+'Baltimore MEO FTE''s'!H23+'Boston-New York MEO FTE''s'!H23+'MEO Buffalo-Philadelphia FTEs'!H23+'MEO Chicago-Columbus FTEs'!H23+'MEO Detroit Minn-Denver FTE'!H23+'MEO Seattle-San Fran-LA FTEs'!H23+'MEO Kansas City-Ft. Worth FTEs'!H23)</f>
        <v>75</v>
      </c>
      <c r="K23" s="167">
        <f>SUM('Atlanta MEO FTE''s'!K23+'Baltimore MEO FTE''s'!J23+'Boston-New York MEO FTE''s'!J23+'MEO Buffalo-Philadelphia FTEs'!J23+'MEO Chicago-Columbus FTEs'!J23+'MEO Detroit Minn-Denver FTE'!J23+'MEO Seattle-San Fran-LA FTEs'!J23+'MEO Kansas City-Ft. Worth FTEs'!J23)</f>
        <v>3951141.36</v>
      </c>
      <c r="L23" s="59">
        <f>SUM('Atlanta MEO FTE''s'!L23+'Baltimore MEO FTE''s'!K23+'Boston-New York MEO FTE''s'!K23+'MEO Buffalo-Philadelphia FTEs'!K23+'MEO Chicago-Columbus FTEs'!K23+'MEO Detroit Minn-Denver FTE'!K23+'MEO Seattle-San Fran-LA FTEs'!K23+'MEO Kansas City-Ft. Worth FTEs'!K23)</f>
        <v>80.4</v>
      </c>
      <c r="N23" s="167">
        <f>SUM('Atlanta MEO FTE''s'!N23+'Baltimore MEO FTE''s'!M23+'Boston-New York MEO FTE''s'!M23+'MEO Buffalo-Philadelphia FTEs'!M23+'MEO Chicago-Columbus FTEs'!M23+'MEO Detroit Minn-Denver FTE'!M23+'MEO Seattle-San Fran-LA FTEs'!M23+'MEO Kansas City-Ft. Worth FTEs'!M23)</f>
        <v>4244693.12</v>
      </c>
      <c r="O23" s="59">
        <f>SUM('Atlanta MEO FTE''s'!O23+'Baltimore MEO FTE''s'!N23+'Boston-New York MEO FTE''s'!N23+'MEO Buffalo-Philadelphia FTEs'!N23+'MEO Chicago-Columbus FTEs'!N23+'MEO Detroit Minn-Denver FTE'!N23+'MEO Seattle-San Fran-LA FTEs'!N23+'MEO Kansas City-Ft. Worth FTEs'!N23)</f>
        <v>86.19999999999999</v>
      </c>
      <c r="Q23" s="167">
        <f>SUM('Atlanta MEO FTE''s'!Q23+'Baltimore MEO FTE''s'!P23+'Boston-New York MEO FTE''s'!P23+'MEO Buffalo-Philadelphia FTEs'!P23+'MEO Chicago-Columbus FTEs'!P23+'MEO Detroit Minn-Denver FTE'!P23+'MEO Seattle-San Fran-LA FTEs'!P23+'MEO Kansas City-Ft. Worth FTEs'!P23)</f>
        <v>4538245.199999999</v>
      </c>
      <c r="R23" s="59">
        <f>SUM('Atlanta MEO FTE''s'!R23+'Baltimore MEO FTE''s'!Q23+'Boston-New York MEO FTE''s'!Q23+'MEO Buffalo-Philadelphia FTEs'!Q23+'MEO Chicago-Columbus FTEs'!Q23+'MEO Detroit Minn-Denver FTE'!Q23+'MEO Seattle-San Fran-LA FTEs'!Q23+'MEO Kansas City-Ft. Worth FTEs'!Q23)</f>
        <v>91.6</v>
      </c>
      <c r="T23" s="167">
        <f>SUM('Atlanta MEO FTE''s'!T23+'Baltimore MEO FTE''s'!S23+'Boston-New York MEO FTE''s'!S23+'MEO Buffalo-Philadelphia FTEs'!S23+'MEO Chicago-Columbus FTEs'!S23+'MEO Detroit Minn-Denver FTE'!S23+'MEO Seattle-San Fran-LA FTEs'!S23+'MEO Kansas City-Ft. Worth FTEs'!S23)</f>
        <v>4825048.8</v>
      </c>
      <c r="U23" s="186">
        <f>SUM(E23+H23+K23+N23+Q23+T23)</f>
        <v>21426908.24</v>
      </c>
    </row>
    <row r="24" spans="1:21" s="79" customFormat="1" ht="14.25">
      <c r="A24" s="88"/>
      <c r="B24" s="89"/>
      <c r="C24" s="76"/>
      <c r="D24" s="77"/>
      <c r="E24" s="168"/>
      <c r="F24" s="78"/>
      <c r="G24" s="77"/>
      <c r="H24" s="168"/>
      <c r="I24" s="78"/>
      <c r="J24" s="77"/>
      <c r="K24" s="168"/>
      <c r="L24" s="78"/>
      <c r="M24" s="77"/>
      <c r="N24" s="168"/>
      <c r="O24" s="76"/>
      <c r="P24" s="77"/>
      <c r="Q24" s="168"/>
      <c r="R24" s="78"/>
      <c r="S24" s="77"/>
      <c r="T24" s="168"/>
      <c r="U24" s="187"/>
    </row>
    <row r="25" spans="1:21" s="77" customFormat="1" ht="15.75" customHeight="1" thickBot="1">
      <c r="A25" s="90" t="s">
        <v>25</v>
      </c>
      <c r="B25" s="91"/>
      <c r="C25" s="80">
        <f>SUM('Atlanta MEO FTE''s'!C25+'Baltimore MEO FTE''s'!B25+'Boston-New York MEO FTE''s'!B25+'MEO Buffalo-Philadelphia FTEs'!B25+'MEO Chicago-Columbus FTEs'!B25+'MEO Detroit Minn-Denver FTE'!B25+'MEO Seattle-San Fran-LA FTEs'!B25+'MEO Kansas City-Ft. Worth FTEs'!B25)</f>
        <v>66.60900000000002</v>
      </c>
      <c r="D25" s="81"/>
      <c r="E25" s="164">
        <f>E23+E21</f>
        <v>4765323.6</v>
      </c>
      <c r="F25" s="80">
        <f>SUM('Atlanta MEO FTE''s'!F25+'Baltimore MEO FTE''s'!E25+'Boston-New York MEO FTE''s'!E25+'MEO Buffalo-Philadelphia FTEs'!E25+'MEO Chicago-Columbus FTEs'!E25+'MEO Detroit Minn-Denver FTE'!E25+'MEO Seattle-San Fran-LA FTEs'!E25+'MEO Kansas City-Ft. Worth FTEs'!E25)</f>
        <v>294.95</v>
      </c>
      <c r="G25" s="81"/>
      <c r="H25" s="164">
        <f>SUM('Atlanta MEO FTE''s'!H25+'Baltimore MEO FTE''s'!G25+'Boston-New York MEO FTE''s'!G25+'MEO Buffalo-Philadelphia FTEs'!G25+'MEO Chicago-Columbus FTEs'!G25+'MEO Detroit Minn-Denver FTE'!G25+'MEO Seattle-San Fran-LA FTEs'!G25+'MEO Kansas City-Ft. Worth FTEs'!G25)</f>
        <v>20443691.16</v>
      </c>
      <c r="I25" s="80">
        <f>SUM('Atlanta MEO FTE''s'!I25+'Baltimore MEO FTE''s'!H25+'Boston-New York MEO FTE''s'!H25+'MEO Buffalo-Philadelphia FTEs'!H25+'MEO Chicago-Columbus FTEs'!H25+'MEO Detroit Minn-Denver FTE'!H25+'MEO Seattle-San Fran-LA FTEs'!H25+'MEO Kansas City-Ft. Worth FTEs'!H25)</f>
        <v>305.25</v>
      </c>
      <c r="J25" s="81"/>
      <c r="K25" s="164">
        <f>SUM('Atlanta MEO FTE''s'!K25+'Baltimore MEO FTE''s'!J25+'Boston-New York MEO FTE''s'!J25+'MEO Buffalo-Philadelphia FTEs'!J25+'MEO Chicago-Columbus FTEs'!J25+'MEO Detroit Minn-Denver FTE'!J25+'MEO Seattle-San Fran-LA FTEs'!J25+'MEO Kansas City-Ft. Worth FTEs'!J25)</f>
        <v>21722537.360000003</v>
      </c>
      <c r="L25" s="80">
        <f>SUM('Atlanta MEO FTE''s'!L25+'Baltimore MEO FTE''s'!K25+'Boston-New York MEO FTE''s'!K25+'MEO Buffalo-Philadelphia FTEs'!K25+'MEO Chicago-Columbus FTEs'!K25+'MEO Detroit Minn-Denver FTE'!K25+'MEO Seattle-San Fran-LA FTEs'!K25+'MEO Kansas City-Ft. Worth FTEs'!K25)</f>
        <v>321.15</v>
      </c>
      <c r="M25" s="81"/>
      <c r="N25" s="171">
        <f>SUM('Atlanta MEO FTE''s'!N25+'Baltimore MEO FTE''s'!M25+'Boston-New York MEO FTE''s'!M25+'MEO Buffalo-Philadelphia FTEs'!M25+'MEO Chicago-Columbus FTEs'!M25+'MEO Detroit Minn-Denver FTE'!M25+'MEO Seattle-San Fran-LA FTEs'!M25+'MEO Kansas City-Ft. Worth FTEs'!M25)</f>
        <v>23746983.119999997</v>
      </c>
      <c r="O25" s="80">
        <f>SUM('Atlanta MEO FTE''s'!O25+'Baltimore MEO FTE''s'!N25+'Boston-New York MEO FTE''s'!N25+'MEO Buffalo-Philadelphia FTEs'!N25+'MEO Chicago-Columbus FTEs'!N25+'MEO Detroit Minn-Denver FTE'!N25+'MEO Seattle-San Fran-LA FTEs'!N25+'MEO Kansas City-Ft. Worth FTEs'!N25)</f>
        <v>333.20000000000005</v>
      </c>
      <c r="P25" s="81"/>
      <c r="Q25" s="164">
        <f>SUM('Atlanta MEO FTE''s'!Q25+'Baltimore MEO FTE''s'!P25+'Boston-New York MEO FTE''s'!P25+'MEO Buffalo-Philadelphia FTEs'!P25+'MEO Chicago-Columbus FTEs'!P25+'MEO Detroit Minn-Denver FTE'!P25+'MEO Seattle-San Fran-LA FTEs'!P25+'MEO Kansas City-Ft. Worth FTEs'!P25)</f>
        <v>25152472.200000003</v>
      </c>
      <c r="R25" s="80">
        <f>SUM('Atlanta MEO FTE''s'!R25+'Baltimore MEO FTE''s'!Q25+'Boston-New York MEO FTE''s'!Q25+'MEO Buffalo-Philadelphia FTEs'!Q25+'MEO Chicago-Columbus FTEs'!Q25+'MEO Detroit Minn-Denver FTE'!Q25+'MEO Seattle-San Fran-LA FTEs'!Q25+'MEO Kansas City-Ft. Worth FTEs'!Q25)</f>
        <v>348.59999999999997</v>
      </c>
      <c r="S25" s="81"/>
      <c r="T25" s="164">
        <f>SUM('Atlanta MEO FTE''s'!T25+'Baltimore MEO FTE''s'!S25+'Boston-New York MEO FTE''s'!S25+'MEO Buffalo-Philadelphia FTEs'!S25+'MEO Chicago-Columbus FTEs'!S25+'MEO Detroit Minn-Denver FTE'!S25+'MEO Seattle-San Fran-LA FTEs'!S25+'MEO Kansas City-Ft. Worth FTEs'!S25)</f>
        <v>26546226.8</v>
      </c>
      <c r="U25" s="188">
        <f>SUM(U21:U23)</f>
        <v>122377234.24</v>
      </c>
    </row>
    <row r="26" spans="1:21" ht="11.25">
      <c r="A26" s="72"/>
      <c r="B26" s="11"/>
      <c r="C26" s="31"/>
      <c r="D26" s="37"/>
      <c r="E26" s="41"/>
      <c r="F26" s="31"/>
      <c r="G26" s="37"/>
      <c r="H26" s="41"/>
      <c r="I26" s="31"/>
      <c r="J26" s="37"/>
      <c r="K26" s="41"/>
      <c r="L26" s="31"/>
      <c r="M26" s="37"/>
      <c r="N26" s="41"/>
      <c r="O26" s="31"/>
      <c r="P26" s="37"/>
      <c r="Q26" s="41"/>
      <c r="R26" s="31"/>
      <c r="S26" s="37"/>
      <c r="T26" s="41"/>
      <c r="U26" s="38"/>
    </row>
    <row r="27" spans="1:21" ht="11.25">
      <c r="A27" s="65" t="s">
        <v>22</v>
      </c>
      <c r="I27" s="29"/>
      <c r="L27" s="29"/>
      <c r="M27" s="37"/>
      <c r="N27" s="38"/>
      <c r="O27" s="29"/>
      <c r="P27" s="37"/>
      <c r="Q27" s="38"/>
      <c r="R27" s="29"/>
      <c r="S27" s="37"/>
      <c r="T27" s="38"/>
      <c r="U27" s="38"/>
    </row>
    <row r="28" spans="9:21" ht="11.25">
      <c r="I28" s="29"/>
      <c r="O28" s="29"/>
      <c r="P28" s="37"/>
      <c r="Q28" s="38"/>
      <c r="R28" s="29"/>
      <c r="S28" s="37"/>
      <c r="T28" s="38"/>
      <c r="U28" s="38"/>
    </row>
    <row r="29" spans="9:21" ht="11.25">
      <c r="I29" s="29"/>
      <c r="O29" s="29"/>
      <c r="P29" s="37"/>
      <c r="Q29" s="38"/>
      <c r="R29" s="29"/>
      <c r="S29" s="37"/>
      <c r="T29" s="38"/>
      <c r="U29" s="38"/>
    </row>
    <row r="30" spans="9:21" ht="11.25">
      <c r="I30" s="29"/>
      <c r="O30" s="29"/>
      <c r="P30" s="37"/>
      <c r="Q30" s="38"/>
      <c r="R30" s="29"/>
      <c r="S30" s="37"/>
      <c r="T30" s="38"/>
      <c r="U30" s="38"/>
    </row>
    <row r="31" spans="9:21" ht="11.25">
      <c r="I31" s="29"/>
      <c r="O31" s="29"/>
      <c r="P31" s="37"/>
      <c r="Q31" s="38"/>
      <c r="R31" s="29"/>
      <c r="S31" s="37"/>
      <c r="T31" s="38"/>
      <c r="U31" s="38"/>
    </row>
    <row r="32" spans="9:21" ht="11.25">
      <c r="I32" s="29"/>
      <c r="O32" s="29"/>
      <c r="P32" s="37"/>
      <c r="Q32" s="38"/>
      <c r="R32" s="29"/>
      <c r="S32" s="37"/>
      <c r="T32" s="38"/>
      <c r="U32" s="38"/>
    </row>
    <row r="33" spans="9:21" ht="11.25">
      <c r="I33" s="29"/>
      <c r="O33" s="29"/>
      <c r="P33" s="37"/>
      <c r="Q33" s="38"/>
      <c r="R33" s="29"/>
      <c r="S33" s="37"/>
      <c r="T33" s="38"/>
      <c r="U33" s="38"/>
    </row>
    <row r="34" spans="9:21" ht="11.25">
      <c r="I34" s="29"/>
      <c r="O34" s="29"/>
      <c r="P34" s="37"/>
      <c r="Q34" s="38"/>
      <c r="R34" s="29"/>
      <c r="S34" s="37"/>
      <c r="T34" s="38"/>
      <c r="U34" s="38"/>
    </row>
    <row r="35" spans="9:21" ht="11.25">
      <c r="I35" s="29"/>
      <c r="O35" s="29"/>
      <c r="P35" s="37"/>
      <c r="Q35" s="38"/>
      <c r="R35" s="29"/>
      <c r="S35" s="37"/>
      <c r="T35" s="38"/>
      <c r="U35" s="38"/>
    </row>
    <row r="36" spans="15:21" ht="11.25">
      <c r="O36" s="29"/>
      <c r="P36" s="37"/>
      <c r="Q36" s="38"/>
      <c r="R36" s="29"/>
      <c r="S36" s="37"/>
      <c r="T36" s="38"/>
      <c r="U36" s="38"/>
    </row>
    <row r="37" spans="15:21" ht="11.25">
      <c r="O37" s="29"/>
      <c r="P37" s="37"/>
      <c r="Q37" s="38"/>
      <c r="R37" s="29"/>
      <c r="S37" s="37"/>
      <c r="T37" s="38"/>
      <c r="U37" s="38"/>
    </row>
    <row r="38" spans="17:21" ht="11.25">
      <c r="Q38" s="38"/>
      <c r="R38" s="29"/>
      <c r="U38" s="38"/>
    </row>
    <row r="39" ht="11.25">
      <c r="U39" s="38"/>
    </row>
    <row r="40" ht="11.25">
      <c r="U40" s="38"/>
    </row>
    <row r="41" ht="11.25">
      <c r="U41" s="38"/>
    </row>
    <row r="42" ht="11.25">
      <c r="U42" s="38"/>
    </row>
    <row r="43" ht="11.25">
      <c r="U43" s="38"/>
    </row>
    <row r="44" ht="11.25">
      <c r="U44" s="38"/>
    </row>
    <row r="45" ht="11.25">
      <c r="U45" s="38"/>
    </row>
    <row r="46" ht="11.25">
      <c r="U46" s="38"/>
    </row>
    <row r="47" ht="11.25">
      <c r="U47" s="38"/>
    </row>
    <row r="48" ht="11.25">
      <c r="U48" s="38"/>
    </row>
    <row r="49" ht="11.25">
      <c r="U49" s="38"/>
    </row>
    <row r="50" ht="11.25">
      <c r="U50" s="38"/>
    </row>
    <row r="51" ht="11.25">
      <c r="U51" s="38"/>
    </row>
    <row r="52" ht="11.25">
      <c r="U52" s="38"/>
    </row>
    <row r="53" ht="11.25">
      <c r="U53" s="38"/>
    </row>
    <row r="54" ht="11.25">
      <c r="U54" s="38"/>
    </row>
    <row r="65" spans="1:19" ht="79.5" customHeight="1">
      <c r="A65" s="242"/>
      <c r="B65" s="243"/>
      <c r="C65" s="243"/>
      <c r="D65" s="243"/>
      <c r="E65" s="243"/>
      <c r="F65" s="243"/>
      <c r="G65" s="243"/>
      <c r="H65" s="244"/>
      <c r="I65" s="244"/>
      <c r="J65" s="244"/>
      <c r="K65" s="244"/>
      <c r="L65" s="244"/>
      <c r="M65" s="244"/>
      <c r="N65" s="169"/>
      <c r="O65" s="69"/>
      <c r="P65" s="12"/>
      <c r="Q65" s="169"/>
      <c r="R65" s="69"/>
      <c r="S65" s="12"/>
    </row>
    <row r="66" spans="1:19" ht="11.25">
      <c r="A66" s="66"/>
      <c r="B66" s="12"/>
      <c r="C66" s="69"/>
      <c r="D66" s="12"/>
      <c r="E66" s="169"/>
      <c r="F66" s="69"/>
      <c r="G66" s="12"/>
      <c r="H66" s="169"/>
      <c r="I66" s="69"/>
      <c r="J66" s="12"/>
      <c r="K66" s="169"/>
      <c r="L66" s="69"/>
      <c r="M66" s="12"/>
      <c r="N66" s="169"/>
      <c r="O66" s="69"/>
      <c r="P66" s="12"/>
      <c r="Q66" s="169"/>
      <c r="R66" s="69"/>
      <c r="S66" s="12"/>
    </row>
    <row r="67" spans="1:19" ht="11.25">
      <c r="A67" s="66"/>
      <c r="B67" s="12"/>
      <c r="C67" s="69"/>
      <c r="D67" s="12"/>
      <c r="E67" s="169"/>
      <c r="F67" s="69"/>
      <c r="G67" s="12"/>
      <c r="H67" s="169"/>
      <c r="I67" s="69"/>
      <c r="J67" s="12"/>
      <c r="K67" s="169"/>
      <c r="L67" s="69"/>
      <c r="M67" s="12"/>
      <c r="N67" s="169"/>
      <c r="O67" s="69"/>
      <c r="P67" s="12"/>
      <c r="Q67" s="169"/>
      <c r="R67" s="69"/>
      <c r="S67" s="12"/>
    </row>
    <row r="68" spans="1:19" ht="11.25">
      <c r="A68" s="66"/>
      <c r="B68" s="12"/>
      <c r="C68" s="69"/>
      <c r="D68" s="12"/>
      <c r="E68" s="169"/>
      <c r="F68" s="69"/>
      <c r="G68" s="12"/>
      <c r="H68" s="169"/>
      <c r="I68" s="69"/>
      <c r="J68" s="12"/>
      <c r="K68" s="169"/>
      <c r="L68" s="69"/>
      <c r="M68" s="12"/>
      <c r="N68" s="169"/>
      <c r="O68" s="69"/>
      <c r="P68" s="12"/>
      <c r="Q68" s="169"/>
      <c r="R68" s="69"/>
      <c r="S68" s="12"/>
    </row>
  </sheetData>
  <mergeCells count="10">
    <mergeCell ref="A65:M65"/>
    <mergeCell ref="A23:B23"/>
    <mergeCell ref="A1:T1"/>
    <mergeCell ref="A2:T2"/>
    <mergeCell ref="R3:T3"/>
    <mergeCell ref="O3:Q3"/>
    <mergeCell ref="L3:N3"/>
    <mergeCell ref="I3:K3"/>
    <mergeCell ref="F3:H3"/>
    <mergeCell ref="C3:E3"/>
  </mergeCells>
  <printOptions horizontalCentered="1" verticalCentered="1"/>
  <pageMargins left="0.32" right="0.21" top="0.18" bottom="0.18" header="0.17" footer="0.18"/>
  <pageSetup horizontalDpi="600" verticalDpi="600" orientation="landscape" scale="65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8"/>
  <sheetViews>
    <sheetView tabSelected="1" workbookViewId="0" topLeftCell="A1">
      <selection activeCell="C3" sqref="C3:E3"/>
    </sheetView>
  </sheetViews>
  <sheetFormatPr defaultColWidth="9.140625" defaultRowHeight="12.75"/>
  <cols>
    <col min="1" max="1" width="10.8515625" style="22" customWidth="1"/>
    <col min="2" max="2" width="10.8515625" style="2" customWidth="1"/>
    <col min="3" max="3" width="9.140625" style="42" customWidth="1"/>
    <col min="4" max="4" width="7.57421875" style="6" bestFit="1" customWidth="1"/>
    <col min="5" max="5" width="9.8515625" style="23" bestFit="1" customWidth="1"/>
    <col min="6" max="6" width="9.140625" style="30" customWidth="1"/>
    <col min="7" max="7" width="7.57421875" style="6" customWidth="1"/>
    <col min="8" max="8" width="11.140625" style="23" bestFit="1" customWidth="1"/>
    <col min="9" max="9" width="9.140625" style="30" customWidth="1"/>
    <col min="10" max="10" width="7.57421875" style="6" customWidth="1"/>
    <col min="11" max="11" width="10.8515625" style="23" customWidth="1"/>
    <col min="12" max="12" width="9.140625" style="30" customWidth="1"/>
    <col min="13" max="13" width="7.57421875" style="6" customWidth="1"/>
    <col min="14" max="14" width="11.140625" style="23" bestFit="1" customWidth="1"/>
    <col min="15" max="15" width="9.140625" style="30" customWidth="1"/>
    <col min="16" max="16" width="7.57421875" style="6" customWidth="1"/>
    <col min="17" max="17" width="11.140625" style="23" customWidth="1"/>
    <col min="18" max="18" width="9.140625" style="30" customWidth="1"/>
    <col min="19" max="19" width="7.57421875" style="6" customWidth="1"/>
    <col min="20" max="20" width="11.140625" style="23" bestFit="1" customWidth="1"/>
    <col min="21" max="21" width="12.57421875" style="183" bestFit="1" customWidth="1"/>
    <col min="22" max="16384" width="9.140625" style="6" customWidth="1"/>
  </cols>
  <sheetData>
    <row r="1" spans="1:28" ht="39" customHeight="1" thickBot="1">
      <c r="A1" s="247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9"/>
      <c r="U1" s="179"/>
      <c r="V1" s="3"/>
      <c r="W1" s="3"/>
      <c r="X1" s="4"/>
      <c r="Y1" s="5"/>
      <c r="Z1" s="5"/>
      <c r="AA1" s="5"/>
      <c r="AB1" s="5"/>
    </row>
    <row r="2" spans="1:28" s="10" customFormat="1" ht="27" customHeight="1" thickBot="1">
      <c r="A2" s="250" t="s">
        <v>38</v>
      </c>
      <c r="B2" s="251"/>
      <c r="C2" s="251"/>
      <c r="D2" s="251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3"/>
      <c r="U2" s="180"/>
      <c r="V2" s="8"/>
      <c r="W2" s="8"/>
      <c r="X2" s="8"/>
      <c r="Y2" s="8"/>
      <c r="Z2" s="8"/>
      <c r="AA2" s="8"/>
      <c r="AB2" s="9"/>
    </row>
    <row r="3" spans="1:28" s="33" customFormat="1" ht="51" customHeight="1">
      <c r="A3" s="64"/>
      <c r="B3" s="67"/>
      <c r="C3" s="257" t="s">
        <v>1</v>
      </c>
      <c r="D3" s="258"/>
      <c r="E3" s="223"/>
      <c r="F3" s="257" t="s">
        <v>2</v>
      </c>
      <c r="G3" s="258"/>
      <c r="H3" s="223"/>
      <c r="I3" s="257" t="s">
        <v>6</v>
      </c>
      <c r="J3" s="258"/>
      <c r="K3" s="223"/>
      <c r="L3" s="257" t="s">
        <v>3</v>
      </c>
      <c r="M3" s="258"/>
      <c r="N3" s="223"/>
      <c r="O3" s="257" t="s">
        <v>4</v>
      </c>
      <c r="P3" s="258"/>
      <c r="Q3" s="223"/>
      <c r="R3" s="254" t="s">
        <v>5</v>
      </c>
      <c r="S3" s="255"/>
      <c r="T3" s="256"/>
      <c r="U3" s="181" t="s">
        <v>28</v>
      </c>
      <c r="V3" s="35"/>
      <c r="W3" s="35"/>
      <c r="X3" s="35"/>
      <c r="Y3" s="35"/>
      <c r="Z3" s="35"/>
      <c r="AA3" s="35"/>
      <c r="AB3" s="36"/>
    </row>
    <row r="4" spans="1:29" s="13" customFormat="1" ht="15">
      <c r="A4" s="84" t="s">
        <v>7</v>
      </c>
      <c r="B4" s="85"/>
      <c r="C4" s="70" t="s">
        <v>17</v>
      </c>
      <c r="D4" s="27"/>
      <c r="E4" s="166" t="s">
        <v>26</v>
      </c>
      <c r="F4" s="73" t="s">
        <v>17</v>
      </c>
      <c r="G4" s="51"/>
      <c r="H4" s="170" t="s">
        <v>26</v>
      </c>
      <c r="I4" s="73" t="s">
        <v>17</v>
      </c>
      <c r="J4" s="74"/>
      <c r="K4" s="170" t="s">
        <v>26</v>
      </c>
      <c r="L4" s="73" t="s">
        <v>17</v>
      </c>
      <c r="M4" s="74"/>
      <c r="N4" s="170" t="s">
        <v>26</v>
      </c>
      <c r="O4" s="73" t="s">
        <v>17</v>
      </c>
      <c r="P4" s="74"/>
      <c r="Q4" s="170" t="s">
        <v>26</v>
      </c>
      <c r="R4" s="73" t="s">
        <v>17</v>
      </c>
      <c r="S4" s="74"/>
      <c r="T4" s="172" t="s">
        <v>26</v>
      </c>
      <c r="U4" s="182"/>
      <c r="V4" s="24"/>
      <c r="W4" s="25"/>
      <c r="X4" s="24"/>
      <c r="Y4" s="25"/>
      <c r="Z4" s="24"/>
      <c r="AA4" s="25"/>
      <c r="AB4" s="24"/>
      <c r="AC4" s="25"/>
    </row>
    <row r="5" spans="1:29" ht="14.25">
      <c r="A5" s="86"/>
      <c r="B5" s="87"/>
      <c r="C5" s="30">
        <v>0.586</v>
      </c>
      <c r="D5" s="37" t="s">
        <v>8</v>
      </c>
      <c r="E5" s="38">
        <v>76008</v>
      </c>
      <c r="F5" s="30">
        <v>1</v>
      </c>
      <c r="G5" s="37" t="s">
        <v>8</v>
      </c>
      <c r="H5" s="38">
        <v>135672</v>
      </c>
      <c r="I5" s="30">
        <v>1</v>
      </c>
      <c r="J5" s="37" t="s">
        <v>8</v>
      </c>
      <c r="K5" s="38">
        <v>141766</v>
      </c>
      <c r="L5" s="30">
        <v>1</v>
      </c>
      <c r="M5" s="37" t="s">
        <v>8</v>
      </c>
      <c r="N5" s="38">
        <v>147308</v>
      </c>
      <c r="O5" s="30">
        <v>1</v>
      </c>
      <c r="P5" s="37" t="s">
        <v>8</v>
      </c>
      <c r="Q5" s="38">
        <v>153495</v>
      </c>
      <c r="R5" s="30">
        <v>1</v>
      </c>
      <c r="S5" s="37" t="s">
        <v>8</v>
      </c>
      <c r="T5" s="173">
        <v>159942</v>
      </c>
      <c r="U5" s="182"/>
      <c r="V5" s="15"/>
      <c r="W5" s="16"/>
      <c r="X5" s="15"/>
      <c r="Y5" s="16"/>
      <c r="Z5" s="15"/>
      <c r="AA5" s="16"/>
      <c r="AB5" s="15"/>
      <c r="AC5" s="16"/>
    </row>
    <row r="6" spans="1:29" ht="14.25">
      <c r="A6" s="86"/>
      <c r="B6" s="87"/>
      <c r="C6" s="30">
        <v>0.495</v>
      </c>
      <c r="D6" s="37" t="s">
        <v>9</v>
      </c>
      <c r="E6" s="38">
        <v>54433</v>
      </c>
      <c r="F6" s="30">
        <v>1</v>
      </c>
      <c r="G6" s="37" t="s">
        <v>9</v>
      </c>
      <c r="H6" s="38">
        <v>114915</v>
      </c>
      <c r="I6" s="30">
        <v>1</v>
      </c>
      <c r="J6" s="37" t="s">
        <v>9</v>
      </c>
      <c r="K6" s="38">
        <v>120076</v>
      </c>
      <c r="L6" s="30">
        <v>1</v>
      </c>
      <c r="M6" s="37" t="s">
        <v>9</v>
      </c>
      <c r="N6" s="38">
        <v>147308</v>
      </c>
      <c r="O6" s="30">
        <v>1</v>
      </c>
      <c r="P6" s="37" t="s">
        <v>9</v>
      </c>
      <c r="Q6" s="38">
        <v>153495</v>
      </c>
      <c r="R6" s="30">
        <v>1</v>
      </c>
      <c r="S6" s="37" t="s">
        <v>9</v>
      </c>
      <c r="T6" s="173">
        <v>159942</v>
      </c>
      <c r="U6" s="182"/>
      <c r="V6" s="15"/>
      <c r="W6" s="16"/>
      <c r="X6" s="15"/>
      <c r="Y6" s="16"/>
      <c r="Z6" s="15"/>
      <c r="AA6" s="16"/>
      <c r="AB6" s="15"/>
      <c r="AC6" s="16"/>
    </row>
    <row r="7" spans="1:20" ht="14.25">
      <c r="A7" s="86"/>
      <c r="B7" s="87"/>
      <c r="C7" s="30">
        <f>0.338+0.248</f>
        <v>0.5860000000000001</v>
      </c>
      <c r="D7" s="37" t="s">
        <v>10</v>
      </c>
      <c r="E7" s="38">
        <f>31224+22864</f>
        <v>54088</v>
      </c>
      <c r="F7" s="30">
        <v>2</v>
      </c>
      <c r="G7" s="37" t="s">
        <v>10</v>
      </c>
      <c r="H7" s="38">
        <f>96634+96634</f>
        <v>193268</v>
      </c>
      <c r="I7" s="30">
        <v>2</v>
      </c>
      <c r="J7" s="37" t="s">
        <v>10</v>
      </c>
      <c r="K7" s="38">
        <f>100974*2</f>
        <v>201948</v>
      </c>
      <c r="L7" s="30">
        <v>2</v>
      </c>
      <c r="M7" s="37" t="s">
        <v>10</v>
      </c>
      <c r="N7" s="38">
        <f>124770*2</f>
        <v>249540</v>
      </c>
      <c r="O7" s="30">
        <v>2</v>
      </c>
      <c r="P7" s="37" t="s">
        <v>10</v>
      </c>
      <c r="Q7" s="38">
        <f>130011*2</f>
        <v>260022</v>
      </c>
      <c r="R7" s="30">
        <v>2</v>
      </c>
      <c r="S7" s="37" t="s">
        <v>10</v>
      </c>
      <c r="T7" s="173">
        <f>135471*2</f>
        <v>270942</v>
      </c>
    </row>
    <row r="8" spans="1:20" ht="14.25">
      <c r="A8" s="86"/>
      <c r="B8" s="87"/>
      <c r="C8" s="30">
        <v>0.214</v>
      </c>
      <c r="D8" s="37" t="s">
        <v>11</v>
      </c>
      <c r="E8" s="38">
        <v>16495</v>
      </c>
      <c r="F8" s="30">
        <v>0.75</v>
      </c>
      <c r="G8" s="37" t="s">
        <v>11</v>
      </c>
      <c r="H8" s="38">
        <v>60471</v>
      </c>
      <c r="I8" s="30">
        <v>0.75</v>
      </c>
      <c r="J8" s="37" t="s">
        <v>11</v>
      </c>
      <c r="K8" s="38">
        <v>63187</v>
      </c>
      <c r="L8" s="30">
        <v>0.75</v>
      </c>
      <c r="M8" s="37" t="s">
        <v>11</v>
      </c>
      <c r="N8" s="38">
        <v>65658</v>
      </c>
      <c r="O8" s="30">
        <v>0.75</v>
      </c>
      <c r="P8" s="37" t="s">
        <v>11</v>
      </c>
      <c r="Q8" s="38">
        <v>68415</v>
      </c>
      <c r="R8" s="30">
        <v>0.75</v>
      </c>
      <c r="S8" s="37" t="s">
        <v>11</v>
      </c>
      <c r="T8" s="173">
        <v>71289</v>
      </c>
    </row>
    <row r="9" spans="1:20" ht="14.25">
      <c r="A9" s="86"/>
      <c r="B9" s="87"/>
      <c r="C9" s="71" t="s">
        <v>30</v>
      </c>
      <c r="D9" s="50"/>
      <c r="E9" s="38"/>
      <c r="F9" s="71" t="s">
        <v>30</v>
      </c>
      <c r="G9" s="43"/>
      <c r="H9" s="38"/>
      <c r="I9" s="71" t="s">
        <v>30</v>
      </c>
      <c r="J9" s="43"/>
      <c r="K9" s="38"/>
      <c r="L9" s="71" t="s">
        <v>30</v>
      </c>
      <c r="M9" s="50"/>
      <c r="N9" s="38"/>
      <c r="O9" s="71" t="s">
        <v>30</v>
      </c>
      <c r="P9" s="50"/>
      <c r="Q9" s="38"/>
      <c r="R9" s="71" t="s">
        <v>30</v>
      </c>
      <c r="S9" s="50"/>
      <c r="T9" s="173"/>
    </row>
    <row r="10" spans="1:20" ht="14.25">
      <c r="A10" s="86"/>
      <c r="B10" s="87"/>
      <c r="C10" s="30">
        <v>0.473</v>
      </c>
      <c r="D10" s="37" t="s">
        <v>11</v>
      </c>
      <c r="E10" s="38">
        <v>36458</v>
      </c>
      <c r="F10" s="30">
        <v>1</v>
      </c>
      <c r="G10" s="37" t="s">
        <v>11</v>
      </c>
      <c r="H10" s="38">
        <v>81287</v>
      </c>
      <c r="I10" s="30">
        <v>1</v>
      </c>
      <c r="J10" s="37" t="s">
        <v>11</v>
      </c>
      <c r="K10" s="38">
        <v>84938</v>
      </c>
      <c r="L10" s="30">
        <v>1</v>
      </c>
      <c r="M10" s="37" t="s">
        <v>11</v>
      </c>
      <c r="N10" s="38">
        <v>88259</v>
      </c>
      <c r="O10" s="30">
        <v>1</v>
      </c>
      <c r="P10" s="37" t="s">
        <v>11</v>
      </c>
      <c r="Q10" s="38">
        <v>91966</v>
      </c>
      <c r="R10" s="30">
        <v>1</v>
      </c>
      <c r="S10" s="37" t="s">
        <v>11</v>
      </c>
      <c r="T10" s="173">
        <v>95828</v>
      </c>
    </row>
    <row r="11" spans="1:20" ht="14.25">
      <c r="A11" s="86"/>
      <c r="B11" s="87"/>
      <c r="C11" s="30">
        <f>0.338+0.293+0.27</f>
        <v>0.901</v>
      </c>
      <c r="D11" s="37" t="s">
        <v>12</v>
      </c>
      <c r="E11" s="38">
        <f>17563+18665+21531</f>
        <v>57759</v>
      </c>
      <c r="F11" s="30">
        <v>2</v>
      </c>
      <c r="G11" s="37" t="s">
        <v>12</v>
      </c>
      <c r="H11" s="38">
        <f>67295+68591</f>
        <v>135886</v>
      </c>
      <c r="I11" s="30">
        <v>3</v>
      </c>
      <c r="J11" s="37" t="s">
        <v>12</v>
      </c>
      <c r="K11" s="38">
        <f>70318+70138+71672</f>
        <v>212128</v>
      </c>
      <c r="L11" s="30">
        <v>3</v>
      </c>
      <c r="M11" s="37" t="s">
        <v>12</v>
      </c>
      <c r="N11" s="38">
        <f>73067+73067+74474</f>
        <v>220608</v>
      </c>
      <c r="O11" s="30">
        <v>3</v>
      </c>
      <c r="P11" s="37" t="s">
        <v>12</v>
      </c>
      <c r="Q11" s="38">
        <f>76136+76136+77601</f>
        <v>229873</v>
      </c>
      <c r="R11" s="30">
        <v>3</v>
      </c>
      <c r="S11" s="37" t="s">
        <v>12</v>
      </c>
      <c r="T11" s="173">
        <f>84396+79333+79333</f>
        <v>243062</v>
      </c>
    </row>
    <row r="12" spans="1:20" ht="14.25">
      <c r="A12" s="86"/>
      <c r="B12" s="87"/>
      <c r="C12" s="30">
        <f>0.293+0.428+0.203+0.248+0.18+0.18+0.315+0.248+0.203</f>
        <v>2.2979999999999996</v>
      </c>
      <c r="D12" s="37" t="s">
        <v>13</v>
      </c>
      <c r="E12" s="38">
        <f>15553+22290+10546+12890+9374+9798+16431+12890+10546</f>
        <v>120318</v>
      </c>
      <c r="F12" s="30">
        <v>10</v>
      </c>
      <c r="G12" s="37" t="s">
        <v>13</v>
      </c>
      <c r="H12" s="38">
        <f>56092+110066+55033+55033+55033+57521+55033+55033+55033</f>
        <v>553877</v>
      </c>
      <c r="I12" s="30">
        <v>10</v>
      </c>
      <c r="J12" s="37" t="s">
        <v>13</v>
      </c>
      <c r="K12" s="38">
        <f>57346+112528+56264+56264+56264+58807+56264+56264+56264</f>
        <v>566265</v>
      </c>
      <c r="L12" s="30">
        <v>10.5</v>
      </c>
      <c r="M12" s="37" t="s">
        <v>13</v>
      </c>
      <c r="N12" s="38">
        <f>57346+112528+(56264*6)+88211</f>
        <v>595669</v>
      </c>
      <c r="O12" s="30">
        <v>11</v>
      </c>
      <c r="P12" s="37" t="s">
        <v>13</v>
      </c>
      <c r="Q12" s="38">
        <f>57346+112528+(56264*5)+88211+84396</f>
        <v>623801</v>
      </c>
      <c r="R12" s="30">
        <v>11.5</v>
      </c>
      <c r="S12" s="37" t="s">
        <v>13</v>
      </c>
      <c r="T12" s="173">
        <f>57346+112528+(56264*5)+117615</f>
        <v>568809</v>
      </c>
    </row>
    <row r="13" spans="1:20" ht="14.25">
      <c r="A13" s="86"/>
      <c r="B13" s="87"/>
      <c r="C13" s="30">
        <v>0.18</v>
      </c>
      <c r="D13" s="37" t="s">
        <v>14</v>
      </c>
      <c r="E13" s="38">
        <v>8436</v>
      </c>
      <c r="F13" s="30">
        <v>1</v>
      </c>
      <c r="G13" s="37" t="s">
        <v>14</v>
      </c>
      <c r="H13" s="38">
        <v>49026</v>
      </c>
      <c r="I13" s="30">
        <v>1</v>
      </c>
      <c r="J13" s="37" t="s">
        <v>14</v>
      </c>
      <c r="K13" s="38">
        <v>50122</v>
      </c>
      <c r="L13" s="30">
        <v>1</v>
      </c>
      <c r="M13" s="37" t="s">
        <v>14</v>
      </c>
      <c r="N13" s="38">
        <v>50122</v>
      </c>
      <c r="O13" s="30">
        <v>1</v>
      </c>
      <c r="P13" s="37" t="s">
        <v>14</v>
      </c>
      <c r="Q13" s="38">
        <v>50122</v>
      </c>
      <c r="R13" s="30">
        <v>1</v>
      </c>
      <c r="S13" s="37" t="s">
        <v>14</v>
      </c>
      <c r="T13" s="173">
        <v>50122</v>
      </c>
    </row>
    <row r="14" spans="1:20" ht="14.25">
      <c r="A14" s="86"/>
      <c r="B14" s="87"/>
      <c r="C14" s="71" t="s">
        <v>18</v>
      </c>
      <c r="D14" s="50"/>
      <c r="E14" s="38"/>
      <c r="F14" s="71" t="s">
        <v>18</v>
      </c>
      <c r="G14" s="50"/>
      <c r="H14" s="38"/>
      <c r="I14" s="71" t="s">
        <v>18</v>
      </c>
      <c r="J14" s="43"/>
      <c r="K14" s="38"/>
      <c r="L14" s="71" t="s">
        <v>18</v>
      </c>
      <c r="M14" s="43"/>
      <c r="N14" s="38"/>
      <c r="O14" s="71" t="s">
        <v>18</v>
      </c>
      <c r="P14" s="43"/>
      <c r="Q14" s="38"/>
      <c r="R14" s="71" t="s">
        <v>18</v>
      </c>
      <c r="S14" s="43"/>
      <c r="T14" s="173"/>
    </row>
    <row r="15" spans="1:20" ht="14.25">
      <c r="A15" s="86"/>
      <c r="B15" s="87"/>
      <c r="C15" s="30">
        <v>0.473</v>
      </c>
      <c r="D15" s="37" t="s">
        <v>15</v>
      </c>
      <c r="E15" s="38">
        <v>51961</v>
      </c>
      <c r="F15" s="30">
        <v>1</v>
      </c>
      <c r="G15" s="37" t="s">
        <v>15</v>
      </c>
      <c r="H15" s="38">
        <v>114915</v>
      </c>
      <c r="I15" s="30">
        <v>1</v>
      </c>
      <c r="J15" s="37" t="s">
        <v>15</v>
      </c>
      <c r="K15" s="38">
        <v>120076</v>
      </c>
      <c r="L15" s="30">
        <v>1</v>
      </c>
      <c r="M15" s="37" t="s">
        <v>15</v>
      </c>
      <c r="N15" s="38">
        <v>124770</v>
      </c>
      <c r="O15" s="30">
        <v>1</v>
      </c>
      <c r="P15" s="37" t="s">
        <v>15</v>
      </c>
      <c r="Q15" s="38">
        <v>130011</v>
      </c>
      <c r="R15" s="30">
        <v>1</v>
      </c>
      <c r="S15" s="37" t="s">
        <v>15</v>
      </c>
      <c r="T15" s="173">
        <v>135471</v>
      </c>
    </row>
    <row r="16" spans="1:20" ht="14.25">
      <c r="A16" s="86"/>
      <c r="B16" s="87"/>
      <c r="C16" s="30">
        <v>0.653</v>
      </c>
      <c r="D16" s="37" t="s">
        <v>16</v>
      </c>
      <c r="E16" s="38">
        <v>60323</v>
      </c>
      <c r="F16" s="30">
        <v>3</v>
      </c>
      <c r="G16" s="37" t="s">
        <v>16</v>
      </c>
      <c r="H16" s="38">
        <v>289901</v>
      </c>
      <c r="I16" s="30">
        <v>3</v>
      </c>
      <c r="J16" s="43" t="s">
        <v>16</v>
      </c>
      <c r="K16" s="38">
        <v>302923</v>
      </c>
      <c r="L16" s="30">
        <v>3</v>
      </c>
      <c r="M16" s="37" t="s">
        <v>16</v>
      </c>
      <c r="N16" s="38">
        <v>314764</v>
      </c>
      <c r="O16" s="30">
        <v>3</v>
      </c>
      <c r="P16" s="37" t="s">
        <v>16</v>
      </c>
      <c r="Q16" s="38">
        <v>327985</v>
      </c>
      <c r="R16" s="30">
        <v>3</v>
      </c>
      <c r="S16" s="37" t="s">
        <v>16</v>
      </c>
      <c r="T16" s="173">
        <v>341760</v>
      </c>
    </row>
    <row r="17" spans="1:20" ht="14.25">
      <c r="A17" s="86"/>
      <c r="B17" s="87"/>
      <c r="C17" s="30">
        <v>0.36</v>
      </c>
      <c r="D17" s="37" t="s">
        <v>11</v>
      </c>
      <c r="E17" s="38">
        <v>27786</v>
      </c>
      <c r="F17" s="30">
        <v>2</v>
      </c>
      <c r="G17" s="37" t="s">
        <v>11</v>
      </c>
      <c r="H17" s="38">
        <v>161257</v>
      </c>
      <c r="I17" s="30">
        <v>2</v>
      </c>
      <c r="J17" s="37" t="s">
        <v>11</v>
      </c>
      <c r="K17" s="38">
        <v>168500</v>
      </c>
      <c r="L17" s="30">
        <v>2</v>
      </c>
      <c r="M17" s="37" t="s">
        <v>11</v>
      </c>
      <c r="N17" s="38">
        <v>175087</v>
      </c>
      <c r="O17" s="30">
        <v>2</v>
      </c>
      <c r="P17" s="37" t="s">
        <v>11</v>
      </c>
      <c r="Q17" s="38">
        <v>182440</v>
      </c>
      <c r="R17" s="30">
        <v>2</v>
      </c>
      <c r="S17" s="37" t="s">
        <v>11</v>
      </c>
      <c r="T17" s="173">
        <v>190103</v>
      </c>
    </row>
    <row r="18" spans="1:20" ht="14.25">
      <c r="A18" s="86"/>
      <c r="B18" s="87"/>
      <c r="C18" s="30">
        <v>0.45</v>
      </c>
      <c r="D18" s="37" t="s">
        <v>12</v>
      </c>
      <c r="E18" s="38">
        <v>28698</v>
      </c>
      <c r="F18" s="30">
        <v>2</v>
      </c>
      <c r="G18" s="37" t="s">
        <v>12</v>
      </c>
      <c r="H18" s="38">
        <v>133273</v>
      </c>
      <c r="I18" s="30">
        <v>2</v>
      </c>
      <c r="J18" s="37" t="s">
        <v>12</v>
      </c>
      <c r="K18" s="38">
        <v>139259</v>
      </c>
      <c r="L18" s="30">
        <v>3</v>
      </c>
      <c r="M18" s="37" t="s">
        <v>12</v>
      </c>
      <c r="N18" s="38">
        <v>217054</v>
      </c>
      <c r="O18" s="30">
        <v>3</v>
      </c>
      <c r="P18" s="37" t="s">
        <v>12</v>
      </c>
      <c r="Q18" s="38">
        <v>226171</v>
      </c>
      <c r="R18" s="30">
        <v>3</v>
      </c>
      <c r="S18" s="37" t="s">
        <v>12</v>
      </c>
      <c r="T18" s="173">
        <v>235670</v>
      </c>
    </row>
    <row r="19" spans="1:20" ht="14.25">
      <c r="A19" s="86"/>
      <c r="B19" s="87"/>
      <c r="C19" s="30">
        <v>0.248</v>
      </c>
      <c r="D19" s="37" t="s">
        <v>13</v>
      </c>
      <c r="E19" s="38">
        <v>12890</v>
      </c>
      <c r="F19" s="30">
        <v>2</v>
      </c>
      <c r="G19" s="37" t="s">
        <v>13</v>
      </c>
      <c r="H19" s="38">
        <v>108957</v>
      </c>
      <c r="I19" s="30">
        <v>2</v>
      </c>
      <c r="J19" s="37" t="s">
        <v>13</v>
      </c>
      <c r="K19" s="38">
        <v>111394</v>
      </c>
      <c r="L19" s="30">
        <v>2</v>
      </c>
      <c r="M19" s="37" t="s">
        <v>13</v>
      </c>
      <c r="N19" s="38">
        <v>111394</v>
      </c>
      <c r="O19" s="30">
        <v>2</v>
      </c>
      <c r="P19" s="37" t="s">
        <v>13</v>
      </c>
      <c r="Q19" s="38">
        <v>111394</v>
      </c>
      <c r="R19" s="30">
        <v>2</v>
      </c>
      <c r="S19" s="37" t="s">
        <v>13</v>
      </c>
      <c r="T19" s="173">
        <v>111394</v>
      </c>
    </row>
    <row r="20" spans="1:21" s="60" customFormat="1" ht="15" thickBot="1">
      <c r="A20" s="98"/>
      <c r="B20" s="99"/>
      <c r="C20" s="100">
        <v>0.113</v>
      </c>
      <c r="D20" s="60" t="s">
        <v>14</v>
      </c>
      <c r="E20" s="152">
        <v>5273</v>
      </c>
      <c r="F20" s="100">
        <v>1</v>
      </c>
      <c r="G20" s="60" t="s">
        <v>14</v>
      </c>
      <c r="H20" s="152">
        <v>49026</v>
      </c>
      <c r="I20" s="100">
        <v>1</v>
      </c>
      <c r="J20" s="60" t="s">
        <v>14</v>
      </c>
      <c r="K20" s="152">
        <v>50122</v>
      </c>
      <c r="L20" s="100">
        <v>1</v>
      </c>
      <c r="M20" s="60" t="s">
        <v>14</v>
      </c>
      <c r="N20" s="152">
        <v>50122</v>
      </c>
      <c r="O20" s="100">
        <v>1</v>
      </c>
      <c r="P20" s="60" t="s">
        <v>14</v>
      </c>
      <c r="Q20" s="152">
        <v>50122</v>
      </c>
      <c r="R20" s="100">
        <v>1</v>
      </c>
      <c r="S20" s="60" t="s">
        <v>14</v>
      </c>
      <c r="T20" s="174">
        <v>50122</v>
      </c>
      <c r="U20" s="184"/>
    </row>
    <row r="21" spans="1:21" s="13" customFormat="1" ht="15">
      <c r="A21" s="84" t="s">
        <v>23</v>
      </c>
      <c r="B21" s="85"/>
      <c r="C21" s="39">
        <v>8.029</v>
      </c>
      <c r="D21" s="40"/>
      <c r="E21" s="41">
        <f>SUM(E5:E20)</f>
        <v>610926</v>
      </c>
      <c r="F21" s="39">
        <f>SUM(F5:F20)</f>
        <v>29.75</v>
      </c>
      <c r="G21" s="40"/>
      <c r="H21" s="41">
        <f>SUM(H5:H20)</f>
        <v>2181731</v>
      </c>
      <c r="I21" s="39">
        <f>SUM(I5:I20)</f>
        <v>30.75</v>
      </c>
      <c r="J21" s="40"/>
      <c r="K21" s="41">
        <f>SUM(K5:K20)</f>
        <v>2332704</v>
      </c>
      <c r="L21" s="39">
        <f>SUM(L5:L20)</f>
        <v>32.25</v>
      </c>
      <c r="M21" s="40"/>
      <c r="N21" s="41">
        <f>SUM(N5:N20)</f>
        <v>2557663</v>
      </c>
      <c r="O21" s="39">
        <f>SUM(O5:O20)</f>
        <v>32.75</v>
      </c>
      <c r="P21" s="40"/>
      <c r="Q21" s="41">
        <f>SUM(Q5:Q20)</f>
        <v>2659312</v>
      </c>
      <c r="R21" s="39">
        <f>SUM(R5:R20)</f>
        <v>33.25</v>
      </c>
      <c r="S21" s="40"/>
      <c r="T21" s="155">
        <f>SUM(T5:T20)</f>
        <v>2684456</v>
      </c>
      <c r="U21" s="185">
        <f>SUM(E21+H21+K21+N21+Q21+T21)</f>
        <v>13026792</v>
      </c>
    </row>
    <row r="22" spans="1:20" ht="14.25">
      <c r="A22" s="86"/>
      <c r="B22" s="87"/>
      <c r="D22" s="37"/>
      <c r="E22" s="38"/>
      <c r="G22" s="37"/>
      <c r="H22" s="38"/>
      <c r="J22" s="37"/>
      <c r="K22" s="38"/>
      <c r="M22" s="37"/>
      <c r="N22" s="38"/>
      <c r="P22" s="37"/>
      <c r="Q22" s="38"/>
      <c r="S22" s="37"/>
      <c r="T22" s="173"/>
    </row>
    <row r="23" spans="1:21" s="75" customFormat="1" ht="33.75" customHeight="1" thickBot="1">
      <c r="A23" s="245" t="s">
        <v>24</v>
      </c>
      <c r="B23" s="246"/>
      <c r="C23" s="59">
        <v>1</v>
      </c>
      <c r="E23" s="167">
        <v>152829.6</v>
      </c>
      <c r="F23" s="59">
        <v>9.2</v>
      </c>
      <c r="H23" s="167">
        <v>482504.88</v>
      </c>
      <c r="I23" s="59">
        <v>9.7</v>
      </c>
      <c r="K23" s="167">
        <v>509498.16</v>
      </c>
      <c r="L23" s="59">
        <v>10.3</v>
      </c>
      <c r="N23" s="167">
        <v>543239.76</v>
      </c>
      <c r="O23" s="59">
        <v>11</v>
      </c>
      <c r="Q23" s="167">
        <v>576981.36</v>
      </c>
      <c r="R23" s="59">
        <v>11.5</v>
      </c>
      <c r="T23" s="175">
        <v>607348.8</v>
      </c>
      <c r="U23" s="186">
        <f>SUM(E23+H23+K23+N23+Q23+T23)</f>
        <v>2872402.5599999996</v>
      </c>
    </row>
    <row r="24" spans="1:21" s="79" customFormat="1" ht="14.25">
      <c r="A24" s="88"/>
      <c r="B24" s="89"/>
      <c r="C24" s="76"/>
      <c r="D24" s="77"/>
      <c r="E24" s="168"/>
      <c r="F24" s="78"/>
      <c r="G24" s="77"/>
      <c r="H24" s="168"/>
      <c r="I24" s="78"/>
      <c r="J24" s="77"/>
      <c r="K24" s="168"/>
      <c r="L24" s="78"/>
      <c r="M24" s="77"/>
      <c r="N24" s="168"/>
      <c r="O24" s="76"/>
      <c r="P24" s="77"/>
      <c r="Q24" s="168"/>
      <c r="R24" s="78"/>
      <c r="S24" s="77"/>
      <c r="T24" s="176"/>
      <c r="U24" s="187"/>
    </row>
    <row r="25" spans="1:21" s="77" customFormat="1" ht="15.75" customHeight="1" thickBot="1">
      <c r="A25" s="90" t="s">
        <v>25</v>
      </c>
      <c r="B25" s="91"/>
      <c r="C25" s="80">
        <f>SUM(C21:C24)</f>
        <v>9.029</v>
      </c>
      <c r="D25" s="81"/>
      <c r="E25" s="164">
        <f>E23+E21</f>
        <v>763755.6</v>
      </c>
      <c r="F25" s="80">
        <f>SUM(F21:F24)</f>
        <v>38.95</v>
      </c>
      <c r="G25" s="81"/>
      <c r="H25" s="164">
        <f>H23+H21</f>
        <v>2664235.88</v>
      </c>
      <c r="I25" s="80">
        <f>SUM(I21:I24)</f>
        <v>40.45</v>
      </c>
      <c r="J25" s="81"/>
      <c r="K25" s="164">
        <f>K23+K21</f>
        <v>2842202.16</v>
      </c>
      <c r="L25" s="80">
        <f>SUM(L21:L24)</f>
        <v>42.55</v>
      </c>
      <c r="M25" s="81"/>
      <c r="N25" s="171">
        <f>N23+N21</f>
        <v>3100902.76</v>
      </c>
      <c r="O25" s="80">
        <f>SUM(O21:O24)</f>
        <v>43.75</v>
      </c>
      <c r="P25" s="81"/>
      <c r="Q25" s="164">
        <f>Q23+Q21</f>
        <v>3236293.36</v>
      </c>
      <c r="R25" s="80">
        <f>SUM(R21:R24)</f>
        <v>44.75</v>
      </c>
      <c r="S25" s="81"/>
      <c r="T25" s="165">
        <f>T23+T21</f>
        <v>3291804.8</v>
      </c>
      <c r="U25" s="188">
        <f>SUM(U21:U23)</f>
        <v>15899194.559999999</v>
      </c>
    </row>
    <row r="26" spans="1:21" ht="11.25">
      <c r="A26" s="72"/>
      <c r="B26" s="11"/>
      <c r="C26" s="31"/>
      <c r="D26" s="37"/>
      <c r="E26" s="41"/>
      <c r="F26" s="31"/>
      <c r="G26" s="37"/>
      <c r="H26" s="41"/>
      <c r="I26" s="31"/>
      <c r="J26" s="37"/>
      <c r="K26" s="41"/>
      <c r="L26" s="31"/>
      <c r="M26" s="37"/>
      <c r="N26" s="41"/>
      <c r="O26" s="31"/>
      <c r="P26" s="37"/>
      <c r="Q26" s="41"/>
      <c r="R26" s="31"/>
      <c r="S26" s="37"/>
      <c r="T26" s="41"/>
      <c r="U26" s="38"/>
    </row>
    <row r="27" spans="1:21" ht="11.25">
      <c r="A27" s="65" t="s">
        <v>22</v>
      </c>
      <c r="I27" s="29"/>
      <c r="L27" s="29"/>
      <c r="M27" s="37"/>
      <c r="N27" s="38"/>
      <c r="O27" s="29"/>
      <c r="P27" s="37"/>
      <c r="Q27" s="38"/>
      <c r="R27" s="29"/>
      <c r="S27" s="37"/>
      <c r="T27" s="38"/>
      <c r="U27" s="38"/>
    </row>
    <row r="28" spans="9:21" ht="11.25">
      <c r="I28" s="29"/>
      <c r="O28" s="29"/>
      <c r="P28" s="37"/>
      <c r="Q28" s="38"/>
      <c r="R28" s="29"/>
      <c r="S28" s="37"/>
      <c r="T28" s="38"/>
      <c r="U28" s="38"/>
    </row>
    <row r="29" spans="9:21" ht="11.25">
      <c r="I29" s="29"/>
      <c r="O29" s="29"/>
      <c r="P29" s="37"/>
      <c r="Q29" s="38"/>
      <c r="R29" s="29"/>
      <c r="S29" s="37"/>
      <c r="T29" s="38"/>
      <c r="U29" s="38"/>
    </row>
    <row r="30" spans="9:21" ht="11.25">
      <c r="I30" s="29"/>
      <c r="O30" s="29"/>
      <c r="P30" s="37"/>
      <c r="Q30" s="38"/>
      <c r="R30" s="29"/>
      <c r="S30" s="37"/>
      <c r="T30" s="38"/>
      <c r="U30" s="38"/>
    </row>
    <row r="31" spans="9:21" ht="11.25">
      <c r="I31" s="29"/>
      <c r="O31" s="29"/>
      <c r="P31" s="37"/>
      <c r="Q31" s="38"/>
      <c r="R31" s="29"/>
      <c r="S31" s="37"/>
      <c r="T31" s="38"/>
      <c r="U31" s="38"/>
    </row>
    <row r="32" spans="9:21" ht="11.25">
      <c r="I32" s="29"/>
      <c r="O32" s="29"/>
      <c r="P32" s="37"/>
      <c r="Q32" s="38"/>
      <c r="R32" s="29"/>
      <c r="S32" s="37"/>
      <c r="T32" s="38"/>
      <c r="U32" s="38"/>
    </row>
    <row r="33" spans="9:21" ht="11.25">
      <c r="I33" s="29"/>
      <c r="O33" s="29"/>
      <c r="P33" s="37"/>
      <c r="Q33" s="38"/>
      <c r="R33" s="29"/>
      <c r="S33" s="37"/>
      <c r="T33" s="38"/>
      <c r="U33" s="38"/>
    </row>
    <row r="34" spans="9:21" ht="11.25">
      <c r="I34" s="29"/>
      <c r="O34" s="29"/>
      <c r="P34" s="37"/>
      <c r="Q34" s="38"/>
      <c r="R34" s="29"/>
      <c r="S34" s="37"/>
      <c r="T34" s="38"/>
      <c r="U34" s="38"/>
    </row>
    <row r="35" spans="9:21" ht="11.25">
      <c r="I35" s="29"/>
      <c r="O35" s="29"/>
      <c r="P35" s="37"/>
      <c r="Q35" s="38"/>
      <c r="R35" s="29"/>
      <c r="S35" s="37"/>
      <c r="T35" s="38"/>
      <c r="U35" s="38"/>
    </row>
    <row r="36" spans="15:21" ht="11.25">
      <c r="O36" s="29"/>
      <c r="P36" s="37"/>
      <c r="Q36" s="38"/>
      <c r="R36" s="29"/>
      <c r="S36" s="37"/>
      <c r="T36" s="38"/>
      <c r="U36" s="38"/>
    </row>
    <row r="37" spans="15:21" ht="11.25">
      <c r="O37" s="29"/>
      <c r="P37" s="37"/>
      <c r="Q37" s="38"/>
      <c r="R37" s="29"/>
      <c r="S37" s="37"/>
      <c r="T37" s="38"/>
      <c r="U37" s="38"/>
    </row>
    <row r="38" spans="17:21" ht="11.25">
      <c r="Q38" s="38"/>
      <c r="R38" s="29"/>
      <c r="U38" s="38"/>
    </row>
    <row r="39" ht="11.25">
      <c r="U39" s="38"/>
    </row>
    <row r="40" ht="11.25">
      <c r="U40" s="38"/>
    </row>
    <row r="41" ht="11.25">
      <c r="U41" s="38"/>
    </row>
    <row r="42" ht="11.25">
      <c r="U42" s="38"/>
    </row>
    <row r="43" ht="11.25">
      <c r="U43" s="38"/>
    </row>
    <row r="44" ht="11.25">
      <c r="U44" s="38"/>
    </row>
    <row r="45" ht="11.25">
      <c r="U45" s="38"/>
    </row>
    <row r="46" ht="11.25">
      <c r="U46" s="38"/>
    </row>
    <row r="47" ht="11.25">
      <c r="U47" s="38"/>
    </row>
    <row r="48" ht="11.25">
      <c r="U48" s="38"/>
    </row>
    <row r="49" ht="11.25">
      <c r="U49" s="38"/>
    </row>
    <row r="50" ht="11.25">
      <c r="U50" s="38"/>
    </row>
    <row r="51" ht="11.25">
      <c r="U51" s="38"/>
    </row>
    <row r="52" ht="11.25">
      <c r="U52" s="38"/>
    </row>
    <row r="53" ht="11.25">
      <c r="U53" s="38"/>
    </row>
    <row r="54" ht="11.25">
      <c r="U54" s="38"/>
    </row>
    <row r="65" spans="1:19" ht="79.5" customHeight="1">
      <c r="A65" s="242"/>
      <c r="B65" s="243"/>
      <c r="C65" s="243"/>
      <c r="D65" s="243"/>
      <c r="E65" s="243"/>
      <c r="F65" s="243"/>
      <c r="G65" s="243"/>
      <c r="H65" s="244"/>
      <c r="I65" s="244"/>
      <c r="J65" s="244"/>
      <c r="K65" s="244"/>
      <c r="L65" s="244"/>
      <c r="M65" s="244"/>
      <c r="N65" s="169"/>
      <c r="O65" s="69"/>
      <c r="P65" s="12"/>
      <c r="Q65" s="169"/>
      <c r="R65" s="69"/>
      <c r="S65" s="12"/>
    </row>
    <row r="66" spans="1:19" ht="11.25">
      <c r="A66" s="66"/>
      <c r="B66" s="12"/>
      <c r="C66" s="69"/>
      <c r="D66" s="12"/>
      <c r="E66" s="169"/>
      <c r="F66" s="69"/>
      <c r="G66" s="12"/>
      <c r="H66" s="169"/>
      <c r="I66" s="69"/>
      <c r="J66" s="12"/>
      <c r="K66" s="169"/>
      <c r="L66" s="69"/>
      <c r="M66" s="12"/>
      <c r="N66" s="169"/>
      <c r="O66" s="69"/>
      <c r="P66" s="12"/>
      <c r="Q66" s="169"/>
      <c r="R66" s="69"/>
      <c r="S66" s="12"/>
    </row>
    <row r="67" spans="1:19" ht="11.25">
      <c r="A67" s="66"/>
      <c r="B67" s="12"/>
      <c r="C67" s="69"/>
      <c r="D67" s="12"/>
      <c r="E67" s="169"/>
      <c r="F67" s="69"/>
      <c r="G67" s="12"/>
      <c r="H67" s="169"/>
      <c r="I67" s="69"/>
      <c r="J67" s="12"/>
      <c r="K67" s="169"/>
      <c r="L67" s="69"/>
      <c r="M67" s="12"/>
      <c r="N67" s="169"/>
      <c r="O67" s="69"/>
      <c r="P67" s="12"/>
      <c r="Q67" s="169"/>
      <c r="R67" s="69"/>
      <c r="S67" s="12"/>
    </row>
    <row r="68" spans="1:19" ht="11.25">
      <c r="A68" s="66"/>
      <c r="B68" s="12"/>
      <c r="C68" s="69"/>
      <c r="D68" s="12"/>
      <c r="E68" s="169"/>
      <c r="F68" s="69"/>
      <c r="G68" s="12"/>
      <c r="H68" s="169"/>
      <c r="I68" s="69"/>
      <c r="J68" s="12"/>
      <c r="K68" s="169"/>
      <c r="L68" s="69"/>
      <c r="M68" s="12"/>
      <c r="N68" s="169"/>
      <c r="O68" s="69"/>
      <c r="P68" s="12"/>
      <c r="Q68" s="169"/>
      <c r="R68" s="69"/>
      <c r="S68" s="12"/>
    </row>
  </sheetData>
  <mergeCells count="10">
    <mergeCell ref="A65:M65"/>
    <mergeCell ref="A23:B23"/>
    <mergeCell ref="A1:T1"/>
    <mergeCell ref="A2:T2"/>
    <mergeCell ref="R3:T3"/>
    <mergeCell ref="O3:Q3"/>
    <mergeCell ref="L3:N3"/>
    <mergeCell ref="I3:K3"/>
    <mergeCell ref="F3:H3"/>
    <mergeCell ref="C3:E3"/>
  </mergeCells>
  <printOptions horizontalCentered="1" verticalCentered="1"/>
  <pageMargins left="0.32" right="0.21" top="0.18" bottom="0.18" header="0.17" footer="0.18"/>
  <pageSetup fitToHeight="1" fitToWidth="1" horizontalDpi="600" verticalDpi="600" orientation="landscape" paperSize="5" scale="85" r:id="rId1"/>
  <headerFooter alignWithMargins="0">
    <oddFooter>&amp;CPage &amp;P of &amp;N</oddFooter>
  </headerFooter>
  <ignoredErrors>
    <ignoredError sqref="C2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140625" defaultRowHeight="12.75"/>
  <cols>
    <col min="1" max="1" width="16.00390625" style="6" customWidth="1"/>
    <col min="2" max="2" width="9.421875" style="42" customWidth="1"/>
    <col min="3" max="3" width="7.57421875" style="6" customWidth="1"/>
    <col min="4" max="4" width="10.140625" style="23" customWidth="1"/>
    <col min="5" max="5" width="11.8515625" style="30" customWidth="1"/>
    <col min="6" max="6" width="7.57421875" style="6" customWidth="1"/>
    <col min="7" max="7" width="11.140625" style="38" bestFit="1" customWidth="1"/>
    <col min="8" max="8" width="9.7109375" style="17" customWidth="1"/>
    <col min="9" max="9" width="7.57421875" style="6" customWidth="1"/>
    <col min="10" max="10" width="11.140625" style="23" bestFit="1" customWidth="1"/>
    <col min="11" max="11" width="9.7109375" style="17" customWidth="1"/>
    <col min="12" max="12" width="7.57421875" style="6" customWidth="1"/>
    <col min="13" max="13" width="11.140625" style="23" bestFit="1" customWidth="1"/>
    <col min="14" max="14" width="9.7109375" style="17" customWidth="1"/>
    <col min="15" max="15" width="7.57421875" style="6" customWidth="1"/>
    <col min="16" max="16" width="10.8515625" style="23" customWidth="1"/>
    <col min="17" max="17" width="9.7109375" style="17" customWidth="1"/>
    <col min="18" max="18" width="7.57421875" style="6" customWidth="1"/>
    <col min="19" max="19" width="11.140625" style="23" bestFit="1" customWidth="1"/>
    <col min="20" max="20" width="12.57421875" style="183" bestFit="1" customWidth="1"/>
    <col min="21" max="16384" width="9.140625" style="6" customWidth="1"/>
  </cols>
  <sheetData>
    <row r="1" spans="1:28" s="19" customFormat="1" ht="29.25" customHeight="1" thickBot="1">
      <c r="A1" s="247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5"/>
      <c r="T1" s="179"/>
      <c r="U1" s="107"/>
      <c r="V1" s="107"/>
      <c r="W1" s="107"/>
      <c r="X1" s="108"/>
      <c r="Y1" s="109"/>
      <c r="Z1" s="109"/>
      <c r="AA1" s="109"/>
      <c r="AB1" s="109"/>
    </row>
    <row r="2" spans="1:26" s="92" customFormat="1" ht="18.75" thickBot="1">
      <c r="A2" s="228" t="s">
        <v>32</v>
      </c>
      <c r="B2" s="222"/>
      <c r="C2" s="222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00"/>
      <c r="T2" s="180"/>
      <c r="U2" s="52"/>
      <c r="V2" s="52"/>
      <c r="W2" s="52"/>
      <c r="X2" s="52"/>
      <c r="Y2" s="52"/>
      <c r="Z2" s="105"/>
    </row>
    <row r="3" spans="1:26" s="104" customFormat="1" ht="66" customHeight="1" thickBot="1">
      <c r="A3" s="44"/>
      <c r="B3" s="260" t="s">
        <v>20</v>
      </c>
      <c r="C3" s="261"/>
      <c r="D3" s="262"/>
      <c r="E3" s="263" t="s">
        <v>2</v>
      </c>
      <c r="F3" s="261"/>
      <c r="G3" s="261"/>
      <c r="H3" s="263" t="s">
        <v>6</v>
      </c>
      <c r="I3" s="261"/>
      <c r="J3" s="261"/>
      <c r="K3" s="263" t="s">
        <v>3</v>
      </c>
      <c r="L3" s="261"/>
      <c r="M3" s="261"/>
      <c r="N3" s="263" t="s">
        <v>4</v>
      </c>
      <c r="O3" s="261"/>
      <c r="P3" s="261"/>
      <c r="Q3" s="263" t="s">
        <v>5</v>
      </c>
      <c r="R3" s="264"/>
      <c r="S3" s="265"/>
      <c r="T3" s="181" t="s">
        <v>28</v>
      </c>
      <c r="U3" s="8"/>
      <c r="V3" s="8"/>
      <c r="W3" s="8"/>
      <c r="X3" s="8"/>
      <c r="Y3" s="8"/>
      <c r="Z3" s="9"/>
    </row>
    <row r="4" spans="1:27" s="37" customFormat="1" ht="25.5" customHeight="1">
      <c r="A4" s="110" t="s">
        <v>7</v>
      </c>
      <c r="B4" s="71" t="s">
        <v>17</v>
      </c>
      <c r="C4" s="11"/>
      <c r="D4" s="197" t="s">
        <v>26</v>
      </c>
      <c r="E4" s="71" t="s">
        <v>17</v>
      </c>
      <c r="F4" s="50"/>
      <c r="G4" s="197" t="s">
        <v>26</v>
      </c>
      <c r="H4" s="71" t="s">
        <v>17</v>
      </c>
      <c r="I4" s="50"/>
      <c r="J4" s="197" t="s">
        <v>26</v>
      </c>
      <c r="K4" s="226" t="s">
        <v>17</v>
      </c>
      <c r="L4" s="227"/>
      <c r="M4" s="197" t="s">
        <v>26</v>
      </c>
      <c r="N4" s="226" t="s">
        <v>17</v>
      </c>
      <c r="O4" s="227"/>
      <c r="P4" s="197" t="s">
        <v>26</v>
      </c>
      <c r="Q4" s="226" t="s">
        <v>17</v>
      </c>
      <c r="R4" s="227"/>
      <c r="S4" s="195" t="s">
        <v>26</v>
      </c>
      <c r="T4" s="182"/>
      <c r="U4" s="117"/>
      <c r="V4" s="116"/>
      <c r="W4" s="117"/>
      <c r="X4" s="116"/>
      <c r="Y4" s="117"/>
      <c r="Z4" s="116"/>
      <c r="AA4" s="117"/>
    </row>
    <row r="5" spans="1:27" ht="14.25">
      <c r="A5" s="111"/>
      <c r="B5" s="30">
        <v>0.586</v>
      </c>
      <c r="C5" s="37" t="s">
        <v>8</v>
      </c>
      <c r="D5" s="38">
        <v>76008</v>
      </c>
      <c r="E5" s="30">
        <v>1</v>
      </c>
      <c r="F5" s="37" t="s">
        <v>8</v>
      </c>
      <c r="G5" s="38">
        <v>135672</v>
      </c>
      <c r="H5" s="30">
        <v>1</v>
      </c>
      <c r="I5" s="37" t="s">
        <v>8</v>
      </c>
      <c r="J5" s="38">
        <v>141766</v>
      </c>
      <c r="K5" s="30">
        <v>1</v>
      </c>
      <c r="L5" s="37" t="s">
        <v>8</v>
      </c>
      <c r="M5" s="38">
        <v>147308</v>
      </c>
      <c r="N5" s="30">
        <v>1</v>
      </c>
      <c r="O5" s="37" t="s">
        <v>8</v>
      </c>
      <c r="P5" s="38">
        <v>153495</v>
      </c>
      <c r="Q5" s="30">
        <v>1</v>
      </c>
      <c r="R5" s="37" t="s">
        <v>8</v>
      </c>
      <c r="S5" s="173">
        <v>159942</v>
      </c>
      <c r="T5" s="182"/>
      <c r="U5" s="16"/>
      <c r="V5" s="15"/>
      <c r="W5" s="16"/>
      <c r="X5" s="15"/>
      <c r="Y5" s="16"/>
      <c r="Z5" s="15"/>
      <c r="AA5" s="16"/>
    </row>
    <row r="6" spans="1:27" ht="14.25">
      <c r="A6" s="111"/>
      <c r="B6" s="30">
        <v>0.495</v>
      </c>
      <c r="C6" s="37" t="s">
        <v>9</v>
      </c>
      <c r="D6" s="38">
        <v>54433</v>
      </c>
      <c r="E6" s="30">
        <v>1</v>
      </c>
      <c r="F6" s="37" t="s">
        <v>9</v>
      </c>
      <c r="G6" s="38">
        <v>114915</v>
      </c>
      <c r="H6" s="30">
        <v>1</v>
      </c>
      <c r="I6" s="37" t="s">
        <v>9</v>
      </c>
      <c r="J6" s="38">
        <v>120076</v>
      </c>
      <c r="K6" s="30">
        <v>1</v>
      </c>
      <c r="L6" s="37" t="s">
        <v>9</v>
      </c>
      <c r="M6" s="38">
        <v>147308</v>
      </c>
      <c r="N6" s="30">
        <v>1</v>
      </c>
      <c r="O6" s="37" t="s">
        <v>9</v>
      </c>
      <c r="P6" s="38">
        <v>153495</v>
      </c>
      <c r="Q6" s="30">
        <v>1</v>
      </c>
      <c r="R6" s="37" t="s">
        <v>9</v>
      </c>
      <c r="S6" s="173">
        <v>159942</v>
      </c>
      <c r="T6" s="182"/>
      <c r="U6" s="16"/>
      <c r="V6" s="15"/>
      <c r="W6" s="16"/>
      <c r="X6" s="15"/>
      <c r="Y6" s="16"/>
      <c r="Z6" s="15"/>
      <c r="AA6" s="16"/>
    </row>
    <row r="7" spans="1:19" ht="14.25">
      <c r="A7" s="111"/>
      <c r="B7" s="30">
        <f>0.338+0.338</f>
        <v>0.676</v>
      </c>
      <c r="C7" s="37" t="s">
        <v>10</v>
      </c>
      <c r="D7" s="38">
        <f>31224+31224</f>
        <v>62448</v>
      </c>
      <c r="E7" s="30">
        <v>2</v>
      </c>
      <c r="F7" s="37" t="s">
        <v>10</v>
      </c>
      <c r="G7" s="38">
        <f>96634*2</f>
        <v>193268</v>
      </c>
      <c r="H7" s="30">
        <v>2</v>
      </c>
      <c r="I7" s="37" t="s">
        <v>10</v>
      </c>
      <c r="J7" s="38">
        <f>100974*2</f>
        <v>201948</v>
      </c>
      <c r="K7" s="30">
        <v>2</v>
      </c>
      <c r="L7" s="37" t="s">
        <v>10</v>
      </c>
      <c r="M7" s="38">
        <f>124770*2</f>
        <v>249540</v>
      </c>
      <c r="N7" s="30">
        <v>2</v>
      </c>
      <c r="O7" s="37" t="s">
        <v>10</v>
      </c>
      <c r="P7" s="38">
        <f>130011*2</f>
        <v>260022</v>
      </c>
      <c r="Q7" s="30">
        <v>2</v>
      </c>
      <c r="R7" s="37" t="s">
        <v>10</v>
      </c>
      <c r="S7" s="173">
        <f>135471*2</f>
        <v>270942</v>
      </c>
    </row>
    <row r="8" spans="1:19" ht="14.25">
      <c r="A8" s="111"/>
      <c r="B8" s="30">
        <v>0.18</v>
      </c>
      <c r="C8" s="37" t="s">
        <v>11</v>
      </c>
      <c r="D8" s="38">
        <v>13874</v>
      </c>
      <c r="E8" s="30">
        <v>0.5</v>
      </c>
      <c r="F8" s="37" t="s">
        <v>11</v>
      </c>
      <c r="G8" s="38">
        <v>40314</v>
      </c>
      <c r="H8" s="30">
        <v>0.5</v>
      </c>
      <c r="I8" s="37" t="s">
        <v>11</v>
      </c>
      <c r="J8" s="38">
        <v>42125</v>
      </c>
      <c r="K8" s="30">
        <v>0.5</v>
      </c>
      <c r="L8" s="37" t="s">
        <v>11</v>
      </c>
      <c r="M8" s="38">
        <v>43772</v>
      </c>
      <c r="N8" s="30">
        <v>0.5</v>
      </c>
      <c r="O8" s="37" t="s">
        <v>11</v>
      </c>
      <c r="P8" s="38">
        <v>45610</v>
      </c>
      <c r="Q8" s="30">
        <v>0.5</v>
      </c>
      <c r="R8" s="37" t="s">
        <v>11</v>
      </c>
      <c r="S8" s="173">
        <v>47526</v>
      </c>
    </row>
    <row r="9" spans="1:20" s="37" customFormat="1" ht="14.25">
      <c r="A9" s="111"/>
      <c r="B9" s="71" t="s">
        <v>30</v>
      </c>
      <c r="C9" s="50"/>
      <c r="D9" s="38"/>
      <c r="E9" s="71" t="s">
        <v>30</v>
      </c>
      <c r="F9" s="50"/>
      <c r="G9" s="38"/>
      <c r="H9" s="71" t="s">
        <v>30</v>
      </c>
      <c r="I9" s="50"/>
      <c r="J9" s="38"/>
      <c r="K9" s="226" t="s">
        <v>30</v>
      </c>
      <c r="L9" s="227"/>
      <c r="M9" s="38"/>
      <c r="N9" s="226" t="s">
        <v>30</v>
      </c>
      <c r="O9" s="227"/>
      <c r="P9" s="38"/>
      <c r="Q9" s="226" t="s">
        <v>30</v>
      </c>
      <c r="R9" s="227"/>
      <c r="S9" s="173"/>
      <c r="T9" s="183"/>
    </row>
    <row r="10" spans="1:19" ht="14.25">
      <c r="A10" s="111"/>
      <c r="B10" s="30">
        <v>0.473</v>
      </c>
      <c r="C10" s="37" t="s">
        <v>11</v>
      </c>
      <c r="D10" s="38">
        <v>36458</v>
      </c>
      <c r="E10" s="30">
        <v>1</v>
      </c>
      <c r="F10" s="37" t="s">
        <v>11</v>
      </c>
      <c r="G10" s="38">
        <v>80628</v>
      </c>
      <c r="H10" s="30">
        <v>1</v>
      </c>
      <c r="I10" s="37" t="s">
        <v>11</v>
      </c>
      <c r="J10" s="38">
        <v>84250</v>
      </c>
      <c r="K10" s="30">
        <v>1</v>
      </c>
      <c r="L10" s="37" t="s">
        <v>11</v>
      </c>
      <c r="M10" s="38">
        <v>87543</v>
      </c>
      <c r="N10" s="30">
        <v>1</v>
      </c>
      <c r="O10" s="37" t="s">
        <v>11</v>
      </c>
      <c r="P10" s="38">
        <v>91220</v>
      </c>
      <c r="Q10" s="30">
        <v>1</v>
      </c>
      <c r="R10" s="37" t="s">
        <v>11</v>
      </c>
      <c r="S10" s="173">
        <v>95051</v>
      </c>
    </row>
    <row r="11" spans="1:19" ht="14.25">
      <c r="A11" s="111"/>
      <c r="B11" s="30">
        <f>0.27+0.203</f>
        <v>0.47300000000000003</v>
      </c>
      <c r="C11" s="37" t="s">
        <v>12</v>
      </c>
      <c r="D11" s="38">
        <f>17888+12900</f>
        <v>30788</v>
      </c>
      <c r="E11" s="30">
        <v>2</v>
      </c>
      <c r="F11" s="37" t="s">
        <v>12</v>
      </c>
      <c r="G11" s="38">
        <f>69861+67295</f>
        <v>137156</v>
      </c>
      <c r="H11" s="30">
        <v>2</v>
      </c>
      <c r="I11" s="37" t="s">
        <v>12</v>
      </c>
      <c r="J11" s="38">
        <f>72999+70318</f>
        <v>143317</v>
      </c>
      <c r="K11" s="30">
        <v>2</v>
      </c>
      <c r="L11" s="37" t="s">
        <v>12</v>
      </c>
      <c r="M11" s="38">
        <f>75852+73067</f>
        <v>148919</v>
      </c>
      <c r="N11" s="30">
        <v>3</v>
      </c>
      <c r="O11" s="37" t="s">
        <v>12</v>
      </c>
      <c r="P11" s="38">
        <f>79038+76136+76136</f>
        <v>231310</v>
      </c>
      <c r="Q11" s="30">
        <v>3</v>
      </c>
      <c r="R11" s="37" t="s">
        <v>12</v>
      </c>
      <c r="S11" s="173">
        <f>82358+79333+79333</f>
        <v>241024</v>
      </c>
    </row>
    <row r="12" spans="1:19" ht="14.25">
      <c r="A12" s="111"/>
      <c r="B12" s="30">
        <f>0.293+0.158+0.293+0.203+0.225+0.158+0.203+0.203</f>
        <v>1.7360000000000002</v>
      </c>
      <c r="C12" s="37" t="s">
        <v>13</v>
      </c>
      <c r="D12" s="38">
        <f>15841+8420+15259+10546+11718+8308+10546+11239</f>
        <v>91877</v>
      </c>
      <c r="E12" s="30">
        <v>7.5</v>
      </c>
      <c r="F12" s="37" t="s">
        <v>13</v>
      </c>
      <c r="G12" s="38">
        <f>57131+55033+82550+55033+55033+55738+55033</f>
        <v>415551</v>
      </c>
      <c r="H12" s="30">
        <v>7.5</v>
      </c>
      <c r="I12" s="37" t="s">
        <v>13</v>
      </c>
      <c r="J12" s="38">
        <f>58409+56264+84396+56264+56264+56985+56264</f>
        <v>424846</v>
      </c>
      <c r="K12" s="30">
        <v>8</v>
      </c>
      <c r="L12" s="37" t="s">
        <v>13</v>
      </c>
      <c r="M12" s="38">
        <f>58409+56264+84396+56264+56264+56985+56264+29205</f>
        <v>454051</v>
      </c>
      <c r="N12" s="30">
        <v>8</v>
      </c>
      <c r="O12" s="37" t="s">
        <v>13</v>
      </c>
      <c r="P12" s="38">
        <f>58409+56264+84396+112528+56985+56264+29205</f>
        <v>454051</v>
      </c>
      <c r="Q12" s="30">
        <v>8.5</v>
      </c>
      <c r="R12" s="37" t="s">
        <v>13</v>
      </c>
      <c r="S12" s="173">
        <f>58409+56264+84396+112528+56985+56264+58409</f>
        <v>483255</v>
      </c>
    </row>
    <row r="13" spans="1:19" ht="14.25">
      <c r="A13" s="111"/>
      <c r="B13" s="30">
        <v>0.113</v>
      </c>
      <c r="C13" s="37" t="s">
        <v>14</v>
      </c>
      <c r="D13" s="38">
        <v>5273</v>
      </c>
      <c r="E13" s="30">
        <v>1</v>
      </c>
      <c r="F13" s="37" t="s">
        <v>14</v>
      </c>
      <c r="G13" s="38">
        <v>49026</v>
      </c>
      <c r="H13" s="30">
        <v>1</v>
      </c>
      <c r="I13" s="37" t="s">
        <v>14</v>
      </c>
      <c r="J13" s="38">
        <v>50122</v>
      </c>
      <c r="K13" s="30">
        <v>1</v>
      </c>
      <c r="L13" s="37" t="s">
        <v>14</v>
      </c>
      <c r="M13" s="38">
        <v>50122</v>
      </c>
      <c r="N13" s="30">
        <v>1</v>
      </c>
      <c r="O13" s="37" t="s">
        <v>14</v>
      </c>
      <c r="P13" s="38">
        <v>50122</v>
      </c>
      <c r="Q13" s="30">
        <v>1</v>
      </c>
      <c r="R13" s="37" t="s">
        <v>14</v>
      </c>
      <c r="S13" s="173">
        <v>50122</v>
      </c>
    </row>
    <row r="14" spans="1:20" s="37" customFormat="1" ht="13.5" customHeight="1">
      <c r="A14" s="111"/>
      <c r="B14" s="71" t="s">
        <v>18</v>
      </c>
      <c r="C14" s="50"/>
      <c r="D14" s="38"/>
      <c r="E14" s="71" t="s">
        <v>18</v>
      </c>
      <c r="F14" s="50"/>
      <c r="G14" s="38"/>
      <c r="H14" s="71" t="s">
        <v>18</v>
      </c>
      <c r="I14" s="50"/>
      <c r="J14" s="38"/>
      <c r="K14" s="226" t="s">
        <v>18</v>
      </c>
      <c r="L14" s="227"/>
      <c r="M14" s="38"/>
      <c r="N14" s="226" t="s">
        <v>18</v>
      </c>
      <c r="O14" s="227"/>
      <c r="P14" s="38"/>
      <c r="Q14" s="226" t="s">
        <v>18</v>
      </c>
      <c r="R14" s="227"/>
      <c r="S14" s="173"/>
      <c r="T14" s="183"/>
    </row>
    <row r="15" spans="1:19" ht="14.25">
      <c r="A15" s="111"/>
      <c r="B15" s="30">
        <v>0.473</v>
      </c>
      <c r="C15" s="37" t="s">
        <v>15</v>
      </c>
      <c r="D15" s="38">
        <v>51961</v>
      </c>
      <c r="E15" s="30">
        <v>1</v>
      </c>
      <c r="F15" s="37" t="s">
        <v>15</v>
      </c>
      <c r="G15" s="38">
        <v>114915</v>
      </c>
      <c r="H15" s="30">
        <v>1</v>
      </c>
      <c r="I15" s="37" t="s">
        <v>15</v>
      </c>
      <c r="J15" s="38">
        <v>120076</v>
      </c>
      <c r="K15" s="30">
        <v>1</v>
      </c>
      <c r="L15" s="37" t="s">
        <v>15</v>
      </c>
      <c r="M15" s="38">
        <v>124770</v>
      </c>
      <c r="N15" s="30">
        <v>1</v>
      </c>
      <c r="O15" s="37" t="s">
        <v>15</v>
      </c>
      <c r="P15" s="38">
        <v>130011</v>
      </c>
      <c r="Q15" s="30">
        <v>1</v>
      </c>
      <c r="R15" s="37" t="s">
        <v>15</v>
      </c>
      <c r="S15" s="173">
        <v>135471</v>
      </c>
    </row>
    <row r="16" spans="1:19" ht="14.25">
      <c r="A16" s="111"/>
      <c r="B16" s="30">
        <v>0.45</v>
      </c>
      <c r="C16" s="37" t="s">
        <v>16</v>
      </c>
      <c r="D16" s="38">
        <v>41616</v>
      </c>
      <c r="E16" s="30">
        <v>2</v>
      </c>
      <c r="F16" s="37" t="s">
        <v>16</v>
      </c>
      <c r="G16" s="38">
        <v>193268</v>
      </c>
      <c r="H16" s="30">
        <v>2</v>
      </c>
      <c r="I16" s="43" t="s">
        <v>16</v>
      </c>
      <c r="J16" s="38">
        <v>201948</v>
      </c>
      <c r="K16" s="30">
        <v>2</v>
      </c>
      <c r="L16" s="37" t="s">
        <v>16</v>
      </c>
      <c r="M16" s="38">
        <v>209843</v>
      </c>
      <c r="N16" s="30">
        <v>3</v>
      </c>
      <c r="O16" s="37" t="s">
        <v>16</v>
      </c>
      <c r="P16" s="38">
        <v>327985</v>
      </c>
      <c r="Q16" s="30">
        <v>3</v>
      </c>
      <c r="R16" s="37" t="s">
        <v>16</v>
      </c>
      <c r="S16" s="173">
        <v>341760</v>
      </c>
    </row>
    <row r="17" spans="1:19" ht="14.25">
      <c r="A17" s="111"/>
      <c r="B17" s="30">
        <v>0.428</v>
      </c>
      <c r="C17" s="37" t="s">
        <v>11</v>
      </c>
      <c r="D17" s="38">
        <v>32989</v>
      </c>
      <c r="E17" s="30">
        <v>2</v>
      </c>
      <c r="F17" s="37" t="s">
        <v>11</v>
      </c>
      <c r="G17" s="38">
        <v>161257</v>
      </c>
      <c r="H17" s="30">
        <v>2</v>
      </c>
      <c r="I17" s="37" t="s">
        <v>11</v>
      </c>
      <c r="J17" s="38">
        <v>168500</v>
      </c>
      <c r="K17" s="30">
        <v>2</v>
      </c>
      <c r="L17" s="37" t="s">
        <v>11</v>
      </c>
      <c r="M17" s="38">
        <v>175087</v>
      </c>
      <c r="N17" s="30">
        <v>2</v>
      </c>
      <c r="O17" s="37" t="s">
        <v>11</v>
      </c>
      <c r="P17" s="38">
        <v>182440</v>
      </c>
      <c r="Q17" s="30">
        <v>2</v>
      </c>
      <c r="R17" s="37" t="s">
        <v>11</v>
      </c>
      <c r="S17" s="173">
        <v>190103</v>
      </c>
    </row>
    <row r="18" spans="1:19" ht="14.25">
      <c r="A18" s="111"/>
      <c r="B18" s="30">
        <v>0.203</v>
      </c>
      <c r="C18" s="37" t="s">
        <v>12</v>
      </c>
      <c r="D18" s="38">
        <v>12900</v>
      </c>
      <c r="E18" s="30">
        <v>1</v>
      </c>
      <c r="F18" s="37" t="s">
        <v>12</v>
      </c>
      <c r="G18" s="38">
        <v>66636</v>
      </c>
      <c r="H18" s="30">
        <v>2</v>
      </c>
      <c r="I18" s="37" t="s">
        <v>12</v>
      </c>
      <c r="J18" s="38">
        <v>139259</v>
      </c>
      <c r="K18" s="30">
        <v>2</v>
      </c>
      <c r="L18" s="37" t="s">
        <v>12</v>
      </c>
      <c r="M18" s="38">
        <v>144703</v>
      </c>
      <c r="N18" s="30">
        <v>2</v>
      </c>
      <c r="O18" s="37" t="s">
        <v>12</v>
      </c>
      <c r="P18" s="38">
        <v>150780</v>
      </c>
      <c r="Q18" s="30">
        <v>2</v>
      </c>
      <c r="R18" s="37" t="s">
        <v>12</v>
      </c>
      <c r="S18" s="173">
        <v>157113</v>
      </c>
    </row>
    <row r="19" spans="1:19" ht="14.25">
      <c r="A19" s="111"/>
      <c r="B19" s="30">
        <v>0.248</v>
      </c>
      <c r="C19" s="37" t="s">
        <v>13</v>
      </c>
      <c r="D19" s="38">
        <v>12890</v>
      </c>
      <c r="E19" s="30">
        <v>2</v>
      </c>
      <c r="F19" s="37" t="s">
        <v>13</v>
      </c>
      <c r="G19" s="38">
        <v>108957</v>
      </c>
      <c r="H19" s="30">
        <v>2</v>
      </c>
      <c r="I19" s="37" t="s">
        <v>13</v>
      </c>
      <c r="J19" s="38">
        <v>111394</v>
      </c>
      <c r="K19" s="30">
        <v>2</v>
      </c>
      <c r="L19" s="37" t="s">
        <v>13</v>
      </c>
      <c r="M19" s="38">
        <v>111394</v>
      </c>
      <c r="N19" s="30">
        <v>2</v>
      </c>
      <c r="O19" s="37" t="s">
        <v>13</v>
      </c>
      <c r="P19" s="38">
        <v>111394</v>
      </c>
      <c r="Q19" s="30">
        <v>2</v>
      </c>
      <c r="R19" s="37" t="s">
        <v>13</v>
      </c>
      <c r="S19" s="173">
        <v>111394</v>
      </c>
    </row>
    <row r="20" spans="1:20" s="60" customFormat="1" ht="15" thickBot="1">
      <c r="A20" s="112"/>
      <c r="B20" s="100">
        <v>0.113</v>
      </c>
      <c r="C20" s="60" t="s">
        <v>14</v>
      </c>
      <c r="D20" s="152">
        <v>5273</v>
      </c>
      <c r="E20" s="100">
        <v>1</v>
      </c>
      <c r="F20" s="60" t="s">
        <v>14</v>
      </c>
      <c r="G20" s="152">
        <v>49026</v>
      </c>
      <c r="H20" s="100">
        <v>1</v>
      </c>
      <c r="I20" s="60" t="s">
        <v>14</v>
      </c>
      <c r="J20" s="152">
        <v>50122</v>
      </c>
      <c r="K20" s="100">
        <v>1</v>
      </c>
      <c r="L20" s="60" t="s">
        <v>14</v>
      </c>
      <c r="M20" s="152">
        <v>50122</v>
      </c>
      <c r="N20" s="100">
        <v>1</v>
      </c>
      <c r="O20" s="60" t="s">
        <v>14</v>
      </c>
      <c r="P20" s="152">
        <v>50122</v>
      </c>
      <c r="Q20" s="100">
        <v>1</v>
      </c>
      <c r="R20" s="60" t="s">
        <v>14</v>
      </c>
      <c r="S20" s="174">
        <v>50122</v>
      </c>
      <c r="T20" s="184"/>
    </row>
    <row r="21" spans="1:20" s="13" customFormat="1" ht="15">
      <c r="A21" s="110" t="s">
        <v>19</v>
      </c>
      <c r="B21" s="39">
        <f>SUM(B5:B20)</f>
        <v>6.647000000000001</v>
      </c>
      <c r="C21" s="40"/>
      <c r="D21" s="41">
        <f>SUM(D5:D20)</f>
        <v>528788</v>
      </c>
      <c r="E21" s="39">
        <f>SUM(E5:E20)</f>
        <v>25</v>
      </c>
      <c r="F21" s="40"/>
      <c r="G21" s="41">
        <f>SUM(G5:G20)</f>
        <v>1860589</v>
      </c>
      <c r="H21" s="39">
        <f>SUM(H5:H20)</f>
        <v>26</v>
      </c>
      <c r="I21" s="40"/>
      <c r="J21" s="41">
        <f>SUM(J5:J20)</f>
        <v>1999749</v>
      </c>
      <c r="K21" s="39">
        <f>SUM(K5:K20)</f>
        <v>26.5</v>
      </c>
      <c r="L21" s="40"/>
      <c r="M21" s="41">
        <f>SUM(M5:M20)</f>
        <v>2144482</v>
      </c>
      <c r="N21" s="39">
        <f>SUM(N5:N20)</f>
        <v>28.5</v>
      </c>
      <c r="O21" s="40"/>
      <c r="P21" s="41">
        <f>SUM(P5:P20)</f>
        <v>2392057</v>
      </c>
      <c r="Q21" s="39">
        <f>SUM(Q5:Q20)</f>
        <v>29</v>
      </c>
      <c r="R21" s="40"/>
      <c r="S21" s="155">
        <f>SUM(S5:S20)</f>
        <v>2493767</v>
      </c>
      <c r="T21" s="185">
        <f>SUM(D21+G21+J21+M21+P21+S21)</f>
        <v>11419432</v>
      </c>
    </row>
    <row r="22" spans="1:19" ht="14.25">
      <c r="A22" s="111"/>
      <c r="C22" s="37"/>
      <c r="D22" s="38"/>
      <c r="F22" s="37"/>
      <c r="H22" s="30"/>
      <c r="I22" s="37"/>
      <c r="J22" s="38"/>
      <c r="K22" s="30"/>
      <c r="L22" s="37"/>
      <c r="M22" s="38"/>
      <c r="N22" s="30"/>
      <c r="O22" s="37"/>
      <c r="P22" s="38"/>
      <c r="Q22" s="30"/>
      <c r="R22" s="37"/>
      <c r="S22" s="173"/>
    </row>
    <row r="23" spans="1:20" s="3" customFormat="1" ht="48.75" customHeight="1" thickBot="1">
      <c r="A23" s="63" t="s">
        <v>24</v>
      </c>
      <c r="B23" s="59">
        <v>1</v>
      </c>
      <c r="D23" s="177">
        <v>152829.6</v>
      </c>
      <c r="E23" s="59">
        <v>9.2</v>
      </c>
      <c r="F23" s="75"/>
      <c r="G23" s="177">
        <v>485879.04</v>
      </c>
      <c r="H23" s="59">
        <v>9.7</v>
      </c>
      <c r="I23" s="75"/>
      <c r="J23" s="177">
        <v>512872.32</v>
      </c>
      <c r="K23" s="59">
        <v>10.3</v>
      </c>
      <c r="L23" s="75"/>
      <c r="M23" s="177">
        <v>543239.6</v>
      </c>
      <c r="N23" s="59">
        <v>11</v>
      </c>
      <c r="O23" s="75"/>
      <c r="P23" s="177">
        <v>576981.36</v>
      </c>
      <c r="Q23" s="59">
        <v>11.6</v>
      </c>
      <c r="R23" s="75"/>
      <c r="S23" s="201">
        <v>610722.96</v>
      </c>
      <c r="T23" s="186">
        <f>SUM(D23+G23+J23+M23+P23+S23)</f>
        <v>2882524.88</v>
      </c>
    </row>
    <row r="24" spans="1:20" s="123" customFormat="1" ht="15">
      <c r="A24" s="119"/>
      <c r="B24" s="76"/>
      <c r="C24" s="120"/>
      <c r="D24" s="206"/>
      <c r="E24" s="76"/>
      <c r="F24" s="121"/>
      <c r="G24" s="206"/>
      <c r="H24" s="76"/>
      <c r="I24" s="121"/>
      <c r="J24" s="206"/>
      <c r="K24" s="76"/>
      <c r="L24" s="121"/>
      <c r="M24" s="206"/>
      <c r="N24" s="76"/>
      <c r="O24" s="121"/>
      <c r="P24" s="206"/>
      <c r="Q24" s="76"/>
      <c r="R24" s="121"/>
      <c r="S24" s="202"/>
      <c r="T24" s="187"/>
    </row>
    <row r="25" spans="1:20" s="123" customFormat="1" ht="15.75" thickBot="1">
      <c r="A25" s="90" t="s">
        <v>25</v>
      </c>
      <c r="B25" s="80">
        <f>SUM(B21:B24)</f>
        <v>7.647000000000001</v>
      </c>
      <c r="C25" s="124"/>
      <c r="D25" s="207">
        <f>SUM(D21:D23)</f>
        <v>681617.6</v>
      </c>
      <c r="E25" s="80">
        <f>SUM(E21:E24)</f>
        <v>34.2</v>
      </c>
      <c r="F25" s="125"/>
      <c r="G25" s="207">
        <f>G23+G21</f>
        <v>2346468.04</v>
      </c>
      <c r="H25" s="80">
        <f>SUM(H21:H24)</f>
        <v>35.7</v>
      </c>
      <c r="I25" s="125"/>
      <c r="J25" s="207">
        <f>J23+J21</f>
        <v>2512621.32</v>
      </c>
      <c r="K25" s="80">
        <f>SUM(K21:K24)</f>
        <v>36.8</v>
      </c>
      <c r="L25" s="125"/>
      <c r="M25" s="207">
        <f>M23+M21</f>
        <v>2687721.6</v>
      </c>
      <c r="N25" s="80">
        <f>SUM(N21:N24)</f>
        <v>39.5</v>
      </c>
      <c r="O25" s="125"/>
      <c r="P25" s="207">
        <f>P23+P21</f>
        <v>2969038.36</v>
      </c>
      <c r="Q25" s="80">
        <f>SUM(Q21:Q24)</f>
        <v>40.6</v>
      </c>
      <c r="R25" s="125"/>
      <c r="S25" s="203">
        <f>S23+S21</f>
        <v>3104489.96</v>
      </c>
      <c r="T25" s="188">
        <f>SUM(T21:T23)</f>
        <v>14301956.879999999</v>
      </c>
    </row>
    <row r="26" spans="2:20" s="2" customFormat="1" ht="11.25">
      <c r="B26" s="28"/>
      <c r="D26" s="208"/>
      <c r="E26" s="11"/>
      <c r="G26" s="208"/>
      <c r="J26" s="204"/>
      <c r="M26" s="204"/>
      <c r="P26" s="204"/>
      <c r="S26" s="204"/>
      <c r="T26" s="38"/>
    </row>
    <row r="27" spans="2:20" s="2" customFormat="1" ht="11.25">
      <c r="B27" s="28"/>
      <c r="D27" s="208"/>
      <c r="E27" s="11"/>
      <c r="G27" s="208"/>
      <c r="J27" s="204"/>
      <c r="M27" s="204"/>
      <c r="P27" s="204"/>
      <c r="S27" s="204"/>
      <c r="T27" s="38"/>
    </row>
    <row r="28" spans="1:20" s="115" customFormat="1" ht="12">
      <c r="A28" s="113" t="s">
        <v>22</v>
      </c>
      <c r="B28" s="114"/>
      <c r="D28" s="205"/>
      <c r="E28" s="114"/>
      <c r="G28" s="209"/>
      <c r="J28" s="205"/>
      <c r="M28" s="205"/>
      <c r="P28" s="205"/>
      <c r="S28" s="205"/>
      <c r="T28" s="38"/>
    </row>
    <row r="29" spans="2:20" s="2" customFormat="1" ht="11.25">
      <c r="B29" s="28"/>
      <c r="D29" s="204"/>
      <c r="E29" s="28"/>
      <c r="G29" s="208"/>
      <c r="J29" s="204"/>
      <c r="M29" s="204"/>
      <c r="P29" s="204"/>
      <c r="S29" s="204"/>
      <c r="T29" s="38"/>
    </row>
    <row r="30" spans="2:20" s="2" customFormat="1" ht="11.25">
      <c r="B30" s="28"/>
      <c r="D30" s="204"/>
      <c r="E30" s="28"/>
      <c r="G30" s="208"/>
      <c r="J30" s="204"/>
      <c r="M30" s="204"/>
      <c r="P30" s="204"/>
      <c r="S30" s="204"/>
      <c r="T30" s="38"/>
    </row>
    <row r="31" spans="2:20" s="2" customFormat="1" ht="11.25">
      <c r="B31" s="28"/>
      <c r="D31" s="204"/>
      <c r="E31" s="28"/>
      <c r="G31" s="208"/>
      <c r="J31" s="204"/>
      <c r="M31" s="204"/>
      <c r="P31" s="204"/>
      <c r="S31" s="204"/>
      <c r="T31" s="38"/>
    </row>
    <row r="32" spans="2:20" s="2" customFormat="1" ht="11.25">
      <c r="B32" s="28"/>
      <c r="D32" s="204"/>
      <c r="E32" s="28"/>
      <c r="G32" s="208"/>
      <c r="J32" s="204"/>
      <c r="M32" s="204"/>
      <c r="P32" s="204"/>
      <c r="S32" s="204"/>
      <c r="T32" s="38"/>
    </row>
    <row r="33" spans="2:20" s="2" customFormat="1" ht="11.25">
      <c r="B33" s="28"/>
      <c r="D33" s="204"/>
      <c r="E33" s="28"/>
      <c r="G33" s="208"/>
      <c r="J33" s="204"/>
      <c r="M33" s="204"/>
      <c r="P33" s="204"/>
      <c r="S33" s="204"/>
      <c r="T33" s="38"/>
    </row>
    <row r="34" spans="2:20" s="2" customFormat="1" ht="11.25">
      <c r="B34" s="28"/>
      <c r="D34" s="204"/>
      <c r="E34" s="28"/>
      <c r="G34" s="208"/>
      <c r="J34" s="204"/>
      <c r="M34" s="204"/>
      <c r="P34" s="204"/>
      <c r="S34" s="204"/>
      <c r="T34" s="38"/>
    </row>
    <row r="35" spans="2:20" s="17" customFormat="1" ht="11.25">
      <c r="B35" s="30"/>
      <c r="D35" s="204"/>
      <c r="E35" s="30"/>
      <c r="G35" s="208"/>
      <c r="J35" s="204"/>
      <c r="M35" s="204"/>
      <c r="P35" s="204"/>
      <c r="S35" s="204"/>
      <c r="T35" s="38"/>
    </row>
    <row r="36" spans="2:20" s="2" customFormat="1" ht="11.25">
      <c r="B36" s="28"/>
      <c r="D36" s="204"/>
      <c r="E36" s="28"/>
      <c r="G36" s="208"/>
      <c r="J36" s="204"/>
      <c r="M36" s="204"/>
      <c r="P36" s="204"/>
      <c r="S36" s="204"/>
      <c r="T36" s="38"/>
    </row>
    <row r="37" spans="2:20" s="2" customFormat="1" ht="11.25">
      <c r="B37" s="28"/>
      <c r="D37" s="204"/>
      <c r="E37" s="28"/>
      <c r="G37" s="208"/>
      <c r="J37" s="204"/>
      <c r="M37" s="204"/>
      <c r="P37" s="204"/>
      <c r="S37" s="204"/>
      <c r="T37" s="38"/>
    </row>
    <row r="38" spans="2:20" s="2" customFormat="1" ht="11.25">
      <c r="B38" s="28"/>
      <c r="D38" s="204"/>
      <c r="E38" s="28"/>
      <c r="G38" s="208"/>
      <c r="J38" s="204"/>
      <c r="M38" s="204"/>
      <c r="P38" s="204"/>
      <c r="S38" s="204"/>
      <c r="T38" s="38"/>
    </row>
    <row r="39" spans="2:20" s="2" customFormat="1" ht="11.25">
      <c r="B39" s="28"/>
      <c r="D39" s="204"/>
      <c r="E39" s="28"/>
      <c r="G39" s="208"/>
      <c r="J39" s="204"/>
      <c r="M39" s="204"/>
      <c r="P39" s="204"/>
      <c r="S39" s="204"/>
      <c r="T39" s="38"/>
    </row>
    <row r="40" spans="2:20" s="2" customFormat="1" ht="11.25">
      <c r="B40" s="28"/>
      <c r="D40" s="204"/>
      <c r="E40" s="28"/>
      <c r="G40" s="208"/>
      <c r="J40" s="204"/>
      <c r="M40" s="204"/>
      <c r="P40" s="204"/>
      <c r="S40" s="204"/>
      <c r="T40" s="38"/>
    </row>
    <row r="41" spans="2:20" s="2" customFormat="1" ht="11.25">
      <c r="B41" s="28"/>
      <c r="D41" s="204"/>
      <c r="E41" s="28"/>
      <c r="G41" s="208"/>
      <c r="J41" s="204"/>
      <c r="M41" s="204"/>
      <c r="P41" s="204"/>
      <c r="S41" s="204"/>
      <c r="T41" s="38"/>
    </row>
    <row r="42" spans="2:20" s="14" customFormat="1" ht="11.25">
      <c r="B42" s="26"/>
      <c r="D42" s="192"/>
      <c r="E42" s="26"/>
      <c r="G42" s="178"/>
      <c r="J42" s="192"/>
      <c r="M42" s="192"/>
      <c r="P42" s="192"/>
      <c r="S42" s="192"/>
      <c r="T42" s="38"/>
    </row>
    <row r="43" spans="2:20" ht="11.25">
      <c r="B43" s="68"/>
      <c r="E43" s="68"/>
      <c r="H43" s="6"/>
      <c r="K43" s="6"/>
      <c r="N43" s="6"/>
      <c r="Q43" s="6"/>
      <c r="T43" s="38"/>
    </row>
    <row r="44" spans="2:20" ht="11.25">
      <c r="B44" s="68"/>
      <c r="E44" s="68"/>
      <c r="H44" s="6"/>
      <c r="K44" s="6"/>
      <c r="N44" s="6"/>
      <c r="Q44" s="6"/>
      <c r="T44" s="38"/>
    </row>
    <row r="45" spans="2:20" ht="11.25">
      <c r="B45" s="68"/>
      <c r="E45" s="68"/>
      <c r="H45" s="6"/>
      <c r="K45" s="6"/>
      <c r="N45" s="6"/>
      <c r="Q45" s="6"/>
      <c r="T45" s="38"/>
    </row>
    <row r="46" spans="2:20" ht="11.25">
      <c r="B46" s="68"/>
      <c r="E46" s="68"/>
      <c r="H46" s="6"/>
      <c r="K46" s="6"/>
      <c r="N46" s="6"/>
      <c r="Q46" s="6"/>
      <c r="T46" s="38"/>
    </row>
    <row r="47" spans="2:20" ht="11.25">
      <c r="B47" s="68"/>
      <c r="E47" s="68"/>
      <c r="H47" s="6"/>
      <c r="K47" s="6"/>
      <c r="N47" s="6"/>
      <c r="Q47" s="6"/>
      <c r="T47" s="38"/>
    </row>
    <row r="48" spans="2:20" ht="11.25">
      <c r="B48" s="68"/>
      <c r="E48" s="68"/>
      <c r="H48" s="6"/>
      <c r="K48" s="6"/>
      <c r="N48" s="6"/>
      <c r="Q48" s="6"/>
      <c r="T48" s="38"/>
    </row>
    <row r="49" spans="2:20" ht="11.25">
      <c r="B49" s="68"/>
      <c r="E49" s="68"/>
      <c r="H49" s="6"/>
      <c r="K49" s="6"/>
      <c r="N49" s="6"/>
      <c r="Q49" s="6"/>
      <c r="T49" s="38"/>
    </row>
    <row r="50" spans="2:20" ht="11.25">
      <c r="B50" s="68"/>
      <c r="E50" s="68"/>
      <c r="H50" s="6"/>
      <c r="K50" s="6"/>
      <c r="N50" s="6"/>
      <c r="Q50" s="6"/>
      <c r="T50" s="38"/>
    </row>
    <row r="51" spans="2:20" ht="11.25">
      <c r="B51" s="68"/>
      <c r="E51" s="68"/>
      <c r="H51" s="6"/>
      <c r="K51" s="6"/>
      <c r="N51" s="6"/>
      <c r="Q51" s="6"/>
      <c r="T51" s="38"/>
    </row>
    <row r="52" spans="2:20" ht="11.25">
      <c r="B52" s="68"/>
      <c r="E52" s="68"/>
      <c r="H52" s="6"/>
      <c r="K52" s="6"/>
      <c r="N52" s="6"/>
      <c r="Q52" s="6"/>
      <c r="T52" s="38"/>
    </row>
    <row r="53" spans="1:20" ht="12.75">
      <c r="A53" s="20"/>
      <c r="B53" s="68"/>
      <c r="E53" s="68"/>
      <c r="H53" s="6"/>
      <c r="K53" s="6"/>
      <c r="N53" s="6"/>
      <c r="Q53" s="6"/>
      <c r="T53" s="38"/>
    </row>
    <row r="54" spans="1:20" ht="12.75">
      <c r="A54" s="20"/>
      <c r="B54" s="68"/>
      <c r="E54" s="68"/>
      <c r="H54" s="6"/>
      <c r="K54" s="6"/>
      <c r="N54" s="6"/>
      <c r="Q54" s="6"/>
      <c r="T54" s="38"/>
    </row>
    <row r="55" spans="1:17" ht="12.75">
      <c r="A55" s="20"/>
      <c r="B55" s="68"/>
      <c r="E55" s="68"/>
      <c r="H55" s="6"/>
      <c r="K55" s="6"/>
      <c r="N55" s="6"/>
      <c r="Q55" s="6"/>
    </row>
    <row r="56" spans="1:17" ht="12.75">
      <c r="A56" s="20"/>
      <c r="B56" s="68"/>
      <c r="E56" s="68"/>
      <c r="H56" s="6"/>
      <c r="K56" s="6"/>
      <c r="N56" s="6"/>
      <c r="Q56" s="6"/>
    </row>
    <row r="57" spans="1:17" ht="12.75">
      <c r="A57" s="20"/>
      <c r="B57" s="68"/>
      <c r="E57" s="68"/>
      <c r="H57" s="6"/>
      <c r="K57" s="6"/>
      <c r="N57" s="6"/>
      <c r="Q57" s="6"/>
    </row>
    <row r="58" spans="1:17" ht="12.75">
      <c r="A58" s="20"/>
      <c r="B58" s="68"/>
      <c r="E58" s="68"/>
      <c r="H58" s="6"/>
      <c r="K58" s="6"/>
      <c r="N58" s="6"/>
      <c r="Q58" s="6"/>
    </row>
    <row r="59" spans="2:17" ht="11.25" customHeight="1">
      <c r="B59" s="68"/>
      <c r="E59" s="68"/>
      <c r="H59" s="6"/>
      <c r="K59" s="6"/>
      <c r="N59" s="6"/>
      <c r="Q59" s="6"/>
    </row>
    <row r="60" spans="2:17" ht="11.25">
      <c r="B60" s="68"/>
      <c r="E60" s="68"/>
      <c r="H60" s="6"/>
      <c r="K60" s="6"/>
      <c r="N60" s="6"/>
      <c r="Q60" s="6"/>
    </row>
    <row r="63" spans="1:18" ht="79.5" customHeight="1">
      <c r="A63" s="242"/>
      <c r="B63" s="243"/>
      <c r="C63" s="243"/>
      <c r="D63" s="243"/>
      <c r="E63" s="243"/>
      <c r="F63" s="243"/>
      <c r="G63" s="244"/>
      <c r="H63" s="244"/>
      <c r="I63" s="244"/>
      <c r="J63" s="244"/>
      <c r="K63" s="244"/>
      <c r="L63" s="244"/>
      <c r="M63" s="169"/>
      <c r="N63" s="12"/>
      <c r="O63" s="12"/>
      <c r="P63" s="169"/>
      <c r="Q63" s="12"/>
      <c r="R63" s="12"/>
    </row>
    <row r="64" spans="1:18" ht="11.25">
      <c r="A64" s="12"/>
      <c r="B64" s="69"/>
      <c r="C64" s="12"/>
      <c r="D64" s="169"/>
      <c r="E64" s="69"/>
      <c r="F64" s="12"/>
      <c r="G64" s="210"/>
      <c r="H64" s="12"/>
      <c r="I64" s="12"/>
      <c r="J64" s="169"/>
      <c r="K64" s="12"/>
      <c r="L64" s="12"/>
      <c r="M64" s="169"/>
      <c r="N64" s="12"/>
      <c r="O64" s="12"/>
      <c r="P64" s="169"/>
      <c r="Q64" s="12"/>
      <c r="R64" s="12"/>
    </row>
    <row r="65" spans="1:18" ht="11.25">
      <c r="A65" s="12"/>
      <c r="B65" s="69"/>
      <c r="C65" s="12"/>
      <c r="D65" s="169"/>
      <c r="E65" s="69"/>
      <c r="F65" s="12"/>
      <c r="G65" s="210"/>
      <c r="H65" s="12"/>
      <c r="I65" s="12"/>
      <c r="J65" s="169"/>
      <c r="K65" s="12"/>
      <c r="L65" s="12"/>
      <c r="M65" s="169"/>
      <c r="N65" s="12"/>
      <c r="O65" s="12"/>
      <c r="P65" s="169"/>
      <c r="Q65" s="12"/>
      <c r="R65" s="12"/>
    </row>
    <row r="66" spans="1:18" ht="11.25">
      <c r="A66" s="12"/>
      <c r="B66" s="69"/>
      <c r="C66" s="12"/>
      <c r="D66" s="169"/>
      <c r="E66" s="69"/>
      <c r="F66" s="12"/>
      <c r="G66" s="210"/>
      <c r="H66" s="12"/>
      <c r="I66" s="12"/>
      <c r="J66" s="169"/>
      <c r="K66" s="12"/>
      <c r="L66" s="12"/>
      <c r="M66" s="169"/>
      <c r="N66" s="12"/>
      <c r="O66" s="12"/>
      <c r="P66" s="169"/>
      <c r="Q66" s="12"/>
      <c r="R66" s="12"/>
    </row>
  </sheetData>
  <mergeCells count="18">
    <mergeCell ref="Q3:S3"/>
    <mergeCell ref="Q14:R14"/>
    <mergeCell ref="N14:O14"/>
    <mergeCell ref="K14:L14"/>
    <mergeCell ref="Q4:R4"/>
    <mergeCell ref="Q9:R9"/>
    <mergeCell ref="N4:O4"/>
    <mergeCell ref="N9:O9"/>
    <mergeCell ref="A1:S1"/>
    <mergeCell ref="A63:L63"/>
    <mergeCell ref="K4:L4"/>
    <mergeCell ref="K9:L9"/>
    <mergeCell ref="A2:R2"/>
    <mergeCell ref="B3:D3"/>
    <mergeCell ref="E3:G3"/>
    <mergeCell ref="H3:J3"/>
    <mergeCell ref="K3:M3"/>
    <mergeCell ref="N3:P3"/>
  </mergeCells>
  <printOptions horizontalCentered="1" verticalCentered="1"/>
  <pageMargins left="0.32" right="0.21" top="0.18" bottom="0.18" header="0.17" footer="0.18"/>
  <pageSetup fitToHeight="1" fitToWidth="1" horizontalDpi="600" verticalDpi="600" orientation="landscape" paperSize="5" scale="85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workbookViewId="0" topLeftCell="A5">
      <selection activeCell="B25" sqref="B25"/>
    </sheetView>
  </sheetViews>
  <sheetFormatPr defaultColWidth="9.140625" defaultRowHeight="12.75"/>
  <cols>
    <col min="1" max="1" width="14.140625" style="0" customWidth="1"/>
    <col min="3" max="3" width="7.57421875" style="0" customWidth="1"/>
    <col min="4" max="4" width="10.421875" style="191" bestFit="1" customWidth="1"/>
    <col min="7" max="7" width="11.140625" style="191" bestFit="1" customWidth="1"/>
    <col min="10" max="10" width="11.140625" style="191" customWidth="1"/>
    <col min="13" max="13" width="11.140625" style="191" bestFit="1" customWidth="1"/>
    <col min="16" max="16" width="11.8515625" style="191" customWidth="1"/>
    <col min="19" max="19" width="11.140625" style="191" bestFit="1" customWidth="1"/>
    <col min="20" max="20" width="12.57421875" style="183" bestFit="1" customWidth="1"/>
  </cols>
  <sheetData>
    <row r="1" spans="1:28" s="6" customFormat="1" ht="29.25" customHeight="1" thickBot="1">
      <c r="A1" s="247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5"/>
      <c r="T1" s="179"/>
      <c r="U1" s="3"/>
      <c r="V1" s="3"/>
      <c r="W1" s="3"/>
      <c r="X1" s="4"/>
      <c r="Y1" s="5"/>
      <c r="Z1" s="5"/>
      <c r="AA1" s="5"/>
      <c r="AB1" s="5"/>
    </row>
    <row r="2" spans="1:28" s="10" customFormat="1" ht="27" customHeight="1" thickBot="1">
      <c r="A2" s="250" t="s">
        <v>33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7"/>
      <c r="T2" s="180"/>
      <c r="U2" s="7"/>
      <c r="V2" s="8"/>
      <c r="W2" s="8"/>
      <c r="X2" s="8"/>
      <c r="Y2" s="8"/>
      <c r="Z2" s="8"/>
      <c r="AA2" s="8"/>
      <c r="AB2" s="9"/>
    </row>
    <row r="3" spans="1:20" ht="57" customHeight="1" thickBot="1">
      <c r="A3" s="44"/>
      <c r="B3" s="260" t="s">
        <v>20</v>
      </c>
      <c r="C3" s="268"/>
      <c r="D3" s="261"/>
      <c r="E3" s="263" t="s">
        <v>2</v>
      </c>
      <c r="F3" s="261"/>
      <c r="G3" s="261"/>
      <c r="H3" s="263" t="s">
        <v>6</v>
      </c>
      <c r="I3" s="261"/>
      <c r="J3" s="261"/>
      <c r="K3" s="263" t="s">
        <v>3</v>
      </c>
      <c r="L3" s="261"/>
      <c r="M3" s="261"/>
      <c r="N3" s="263" t="s">
        <v>4</v>
      </c>
      <c r="O3" s="261"/>
      <c r="P3" s="261"/>
      <c r="Q3" s="263" t="s">
        <v>5</v>
      </c>
      <c r="R3" s="261"/>
      <c r="S3" s="269"/>
      <c r="T3" s="181" t="s">
        <v>28</v>
      </c>
    </row>
    <row r="4" spans="1:20" ht="12.75">
      <c r="A4" s="136" t="s">
        <v>7</v>
      </c>
      <c r="B4" s="71" t="s">
        <v>17</v>
      </c>
      <c r="C4" s="11"/>
      <c r="D4" s="197" t="s">
        <v>26</v>
      </c>
      <c r="E4" s="71" t="s">
        <v>17</v>
      </c>
      <c r="F4" s="43"/>
      <c r="G4" s="197" t="s">
        <v>26</v>
      </c>
      <c r="H4" s="71" t="s">
        <v>17</v>
      </c>
      <c r="I4" s="43"/>
      <c r="J4" s="197" t="s">
        <v>26</v>
      </c>
      <c r="K4" s="71" t="s">
        <v>17</v>
      </c>
      <c r="L4" s="43"/>
      <c r="M4" s="197" t="s">
        <v>26</v>
      </c>
      <c r="N4" s="71" t="s">
        <v>17</v>
      </c>
      <c r="O4" s="43"/>
      <c r="P4" s="197" t="s">
        <v>26</v>
      </c>
      <c r="Q4" s="71" t="s">
        <v>17</v>
      </c>
      <c r="R4" s="43"/>
      <c r="S4" s="195" t="s">
        <v>26</v>
      </c>
      <c r="T4" s="182"/>
    </row>
    <row r="5" spans="1:20" ht="12.75">
      <c r="A5" s="135"/>
      <c r="B5" s="30">
        <v>0.563</v>
      </c>
      <c r="C5" s="50" t="s">
        <v>8</v>
      </c>
      <c r="D5" s="212">
        <v>77516</v>
      </c>
      <c r="E5" s="30">
        <v>1</v>
      </c>
      <c r="F5" s="43" t="s">
        <v>8</v>
      </c>
      <c r="G5" s="212">
        <v>143894</v>
      </c>
      <c r="H5" s="30">
        <v>1</v>
      </c>
      <c r="I5" s="43" t="s">
        <v>8</v>
      </c>
      <c r="J5" s="212">
        <v>150357</v>
      </c>
      <c r="K5" s="30">
        <v>1</v>
      </c>
      <c r="L5" s="43" t="s">
        <v>8</v>
      </c>
      <c r="M5" s="212">
        <v>156235</v>
      </c>
      <c r="N5" s="30">
        <v>1</v>
      </c>
      <c r="O5" s="43" t="s">
        <v>8</v>
      </c>
      <c r="P5" s="212">
        <v>162797</v>
      </c>
      <c r="Q5" s="30">
        <v>1</v>
      </c>
      <c r="R5" s="43" t="s">
        <v>8</v>
      </c>
      <c r="S5" s="211">
        <v>169634</v>
      </c>
      <c r="T5" s="182"/>
    </row>
    <row r="6" spans="1:20" ht="12.75">
      <c r="A6" s="135"/>
      <c r="B6" s="30">
        <v>0.518</v>
      </c>
      <c r="C6" s="50" t="s">
        <v>9</v>
      </c>
      <c r="D6" s="38">
        <v>60353</v>
      </c>
      <c r="E6" s="30">
        <v>1</v>
      </c>
      <c r="F6" s="43" t="s">
        <v>9</v>
      </c>
      <c r="G6" s="38">
        <v>121878</v>
      </c>
      <c r="H6" s="30">
        <v>1</v>
      </c>
      <c r="I6" s="43" t="s">
        <v>9</v>
      </c>
      <c r="J6" s="38">
        <v>127353</v>
      </c>
      <c r="K6" s="30">
        <v>1</v>
      </c>
      <c r="L6" s="43" t="s">
        <v>9</v>
      </c>
      <c r="M6" s="38">
        <v>156235</v>
      </c>
      <c r="N6" s="30">
        <v>1</v>
      </c>
      <c r="O6" s="43" t="s">
        <v>9</v>
      </c>
      <c r="P6" s="38">
        <v>162797</v>
      </c>
      <c r="Q6" s="30">
        <v>1</v>
      </c>
      <c r="R6" s="43" t="s">
        <v>9</v>
      </c>
      <c r="S6" s="173">
        <v>169634</v>
      </c>
      <c r="T6" s="182"/>
    </row>
    <row r="7" spans="1:19" ht="12.75">
      <c r="A7" s="135"/>
      <c r="B7" s="30">
        <f>0.293+0.315</f>
        <v>0.608</v>
      </c>
      <c r="C7" s="50" t="s">
        <v>10</v>
      </c>
      <c r="D7" s="38">
        <f>28707+30912</f>
        <v>59619</v>
      </c>
      <c r="E7" s="30">
        <v>2</v>
      </c>
      <c r="F7" s="43" t="s">
        <v>10</v>
      </c>
      <c r="G7" s="38">
        <f>102489*2</f>
        <v>204978</v>
      </c>
      <c r="H7" s="30">
        <v>2</v>
      </c>
      <c r="I7" s="43" t="s">
        <v>10</v>
      </c>
      <c r="J7" s="38">
        <f>107093*2</f>
        <v>214186</v>
      </c>
      <c r="K7" s="30">
        <v>2</v>
      </c>
      <c r="L7" s="43" t="s">
        <v>10</v>
      </c>
      <c r="M7" s="38">
        <f>132331*2</f>
        <v>264662</v>
      </c>
      <c r="N7" s="30">
        <v>2</v>
      </c>
      <c r="O7" s="43" t="s">
        <v>10</v>
      </c>
      <c r="P7" s="38">
        <f>137889*2</f>
        <v>275778</v>
      </c>
      <c r="Q7" s="30">
        <v>2</v>
      </c>
      <c r="R7" s="43" t="s">
        <v>10</v>
      </c>
      <c r="S7" s="173">
        <f>143680+143680</f>
        <v>287360</v>
      </c>
    </row>
    <row r="8" spans="1:19" ht="12.75">
      <c r="A8" s="135"/>
      <c r="B8" s="30">
        <v>0.248</v>
      </c>
      <c r="C8" s="50" t="s">
        <v>11</v>
      </c>
      <c r="D8" s="38">
        <v>20233</v>
      </c>
      <c r="E8" s="30">
        <v>0.75</v>
      </c>
      <c r="F8" s="43" t="s">
        <v>11</v>
      </c>
      <c r="G8" s="38">
        <v>64135</v>
      </c>
      <c r="H8" s="30">
        <v>0.75</v>
      </c>
      <c r="I8" s="43" t="s">
        <v>11</v>
      </c>
      <c r="J8" s="38">
        <v>67016</v>
      </c>
      <c r="K8" s="30">
        <v>0.75</v>
      </c>
      <c r="L8" s="43" t="s">
        <v>11</v>
      </c>
      <c r="M8" s="38">
        <v>69636</v>
      </c>
      <c r="N8" s="30">
        <v>0.75</v>
      </c>
      <c r="O8" s="43" t="s">
        <v>11</v>
      </c>
      <c r="P8" s="38">
        <v>72560</v>
      </c>
      <c r="Q8" s="30">
        <v>0.75</v>
      </c>
      <c r="R8" s="43" t="s">
        <v>11</v>
      </c>
      <c r="S8" s="173">
        <v>75608</v>
      </c>
    </row>
    <row r="9" spans="1:19" ht="12.75">
      <c r="A9" s="135"/>
      <c r="B9" s="71" t="s">
        <v>30</v>
      </c>
      <c r="C9" s="50"/>
      <c r="D9" s="38"/>
      <c r="E9" s="71" t="s">
        <v>30</v>
      </c>
      <c r="F9" s="43"/>
      <c r="G9" s="38"/>
      <c r="H9" s="71" t="s">
        <v>30</v>
      </c>
      <c r="I9" s="43"/>
      <c r="J9" s="38"/>
      <c r="K9" s="71" t="s">
        <v>30</v>
      </c>
      <c r="L9" s="43"/>
      <c r="M9" s="38"/>
      <c r="N9" s="71" t="s">
        <v>30</v>
      </c>
      <c r="O9" s="43"/>
      <c r="P9" s="38"/>
      <c r="Q9" s="71" t="s">
        <v>30</v>
      </c>
      <c r="R9" s="43"/>
      <c r="S9" s="173"/>
    </row>
    <row r="10" spans="1:19" ht="12.75">
      <c r="A10" s="135"/>
      <c r="B10" s="30">
        <v>0.473</v>
      </c>
      <c r="C10" s="50" t="s">
        <v>11</v>
      </c>
      <c r="D10" s="38">
        <v>38667</v>
      </c>
      <c r="E10" s="30">
        <v>1</v>
      </c>
      <c r="F10" s="43" t="s">
        <v>11</v>
      </c>
      <c r="G10" s="38">
        <v>85514</v>
      </c>
      <c r="H10" s="30">
        <v>1</v>
      </c>
      <c r="I10" s="43" t="s">
        <v>11</v>
      </c>
      <c r="J10" s="38">
        <v>89355</v>
      </c>
      <c r="K10" s="30">
        <v>1</v>
      </c>
      <c r="L10" s="43" t="s">
        <v>11</v>
      </c>
      <c r="M10" s="38">
        <v>92848</v>
      </c>
      <c r="N10" s="30">
        <v>1</v>
      </c>
      <c r="O10" s="43" t="s">
        <v>11</v>
      </c>
      <c r="P10" s="38">
        <v>96747</v>
      </c>
      <c r="Q10" s="30">
        <v>1</v>
      </c>
      <c r="R10" s="43" t="s">
        <v>11</v>
      </c>
      <c r="S10" s="173">
        <v>100811</v>
      </c>
    </row>
    <row r="11" spans="1:19" ht="12.75">
      <c r="A11" s="135"/>
      <c r="B11" s="150">
        <f>0.248+0.18</f>
        <v>0.428</v>
      </c>
      <c r="C11" s="50" t="s">
        <v>12</v>
      </c>
      <c r="D11" s="38">
        <f>16722+12418</f>
        <v>29140</v>
      </c>
      <c r="E11" s="30">
        <v>2</v>
      </c>
      <c r="F11" s="43" t="s">
        <v>12</v>
      </c>
      <c r="G11" s="38">
        <f>71374+72879</f>
        <v>144253</v>
      </c>
      <c r="H11" s="30">
        <v>3</v>
      </c>
      <c r="I11" s="43" t="s">
        <v>12</v>
      </c>
      <c r="J11" s="38">
        <f>74580+76152+74580</f>
        <v>225312</v>
      </c>
      <c r="K11" s="30">
        <v>3</v>
      </c>
      <c r="L11" s="43" t="s">
        <v>12</v>
      </c>
      <c r="M11" s="38">
        <f>77495+79129+77495</f>
        <v>234119</v>
      </c>
      <c r="N11" s="30">
        <v>3</v>
      </c>
      <c r="O11" s="43" t="s">
        <v>12</v>
      </c>
      <c r="P11" s="38">
        <f>80750+82453+80750</f>
        <v>243953</v>
      </c>
      <c r="Q11" s="30">
        <v>3</v>
      </c>
      <c r="R11" s="43" t="s">
        <v>12</v>
      </c>
      <c r="S11" s="173">
        <f>84141+85916+84141</f>
        <v>254198</v>
      </c>
    </row>
    <row r="12" spans="1:19" ht="12.75">
      <c r="A12" s="135"/>
      <c r="B12" s="30">
        <f>0.293+0.293+0.45+0.315+0.18+0.18+0.225</f>
        <v>1.936</v>
      </c>
      <c r="C12" s="50" t="s">
        <v>13</v>
      </c>
      <c r="D12" s="38">
        <f>16184+16526+25409+17795+9942+9374+12428</f>
        <v>107658</v>
      </c>
      <c r="E12" s="30">
        <v>9</v>
      </c>
      <c r="F12" s="43" t="s">
        <v>13</v>
      </c>
      <c r="G12" s="38">
        <f>58368+59600+119200+119200+58368+55033+58368</f>
        <v>528137</v>
      </c>
      <c r="H12" s="30">
        <v>9</v>
      </c>
      <c r="I12" s="43" t="s">
        <v>13</v>
      </c>
      <c r="J12" s="38">
        <f>59673+60933+121866+121866+59673+56264+59673</f>
        <v>539948</v>
      </c>
      <c r="K12" s="30">
        <v>9.5</v>
      </c>
      <c r="L12" s="43" t="s">
        <v>13</v>
      </c>
      <c r="M12" s="38">
        <f>89509+60933+121866+121866+59673+56264+59673</f>
        <v>569784</v>
      </c>
      <c r="N12" s="30">
        <v>9.5</v>
      </c>
      <c r="O12" s="43" t="s">
        <v>13</v>
      </c>
      <c r="P12" s="38">
        <f>89509+60933+121886+121886+59673+56264+59673</f>
        <v>569824</v>
      </c>
      <c r="Q12" s="30">
        <v>10</v>
      </c>
      <c r="R12" s="43" t="s">
        <v>13</v>
      </c>
      <c r="S12" s="173">
        <f>119348+60933+121866+121866+59673+56264+59673</f>
        <v>599623</v>
      </c>
    </row>
    <row r="13" spans="1:19" ht="12.75">
      <c r="A13" s="135"/>
      <c r="B13" s="30">
        <v>0.27</v>
      </c>
      <c r="C13" s="50" t="s">
        <v>14</v>
      </c>
      <c r="D13" s="38">
        <v>13445</v>
      </c>
      <c r="E13" s="30">
        <v>1</v>
      </c>
      <c r="F13" s="43" t="s">
        <v>14</v>
      </c>
      <c r="G13" s="38">
        <v>51996</v>
      </c>
      <c r="H13" s="30">
        <v>1</v>
      </c>
      <c r="I13" s="43" t="s">
        <v>14</v>
      </c>
      <c r="J13" s="38">
        <v>53159</v>
      </c>
      <c r="K13" s="30">
        <v>1</v>
      </c>
      <c r="L13" s="43" t="s">
        <v>14</v>
      </c>
      <c r="M13" s="38">
        <v>53159</v>
      </c>
      <c r="N13" s="30">
        <v>1</v>
      </c>
      <c r="O13" s="43" t="s">
        <v>14</v>
      </c>
      <c r="P13" s="38">
        <v>53159</v>
      </c>
      <c r="Q13" s="30">
        <v>1</v>
      </c>
      <c r="R13" s="43" t="s">
        <v>14</v>
      </c>
      <c r="S13" s="173">
        <v>53159</v>
      </c>
    </row>
    <row r="14" spans="1:19" ht="12.75">
      <c r="A14" s="135"/>
      <c r="B14" s="71" t="s">
        <v>18</v>
      </c>
      <c r="C14" s="50"/>
      <c r="D14" s="38"/>
      <c r="E14" s="71" t="s">
        <v>18</v>
      </c>
      <c r="F14" s="43"/>
      <c r="G14" s="38"/>
      <c r="H14" s="71" t="s">
        <v>18</v>
      </c>
      <c r="I14" s="43"/>
      <c r="J14" s="38"/>
      <c r="K14" s="71" t="s">
        <v>18</v>
      </c>
      <c r="L14" s="43"/>
      <c r="M14" s="38"/>
      <c r="N14" s="71" t="s">
        <v>18</v>
      </c>
      <c r="O14" s="43"/>
      <c r="P14" s="38"/>
      <c r="Q14" s="71" t="s">
        <v>18</v>
      </c>
      <c r="R14" s="43"/>
      <c r="S14" s="194"/>
    </row>
    <row r="15" spans="1:19" ht="12.75">
      <c r="A15" s="135"/>
      <c r="B15" s="30">
        <v>0.473</v>
      </c>
      <c r="C15" s="50" t="s">
        <v>15</v>
      </c>
      <c r="D15" s="38">
        <v>55110</v>
      </c>
      <c r="E15" s="30">
        <v>1</v>
      </c>
      <c r="F15" s="43" t="s">
        <v>15</v>
      </c>
      <c r="G15" s="38">
        <v>121878</v>
      </c>
      <c r="H15" s="30">
        <v>1</v>
      </c>
      <c r="I15" s="43" t="s">
        <v>15</v>
      </c>
      <c r="J15" s="38">
        <v>127353</v>
      </c>
      <c r="K15" s="30">
        <v>1</v>
      </c>
      <c r="L15" s="43" t="s">
        <v>15</v>
      </c>
      <c r="M15" s="38">
        <v>132331</v>
      </c>
      <c r="N15" s="30">
        <v>1</v>
      </c>
      <c r="O15" s="43" t="s">
        <v>15</v>
      </c>
      <c r="P15" s="38">
        <v>137889</v>
      </c>
      <c r="Q15" s="30">
        <v>1</v>
      </c>
      <c r="R15" s="43" t="s">
        <v>15</v>
      </c>
      <c r="S15" s="173">
        <v>143680</v>
      </c>
    </row>
    <row r="16" spans="1:19" ht="12.75">
      <c r="A16" s="135"/>
      <c r="B16" s="30">
        <v>0.405</v>
      </c>
      <c r="C16" s="50" t="s">
        <v>16</v>
      </c>
      <c r="D16" s="38">
        <v>39729</v>
      </c>
      <c r="E16" s="30">
        <v>2</v>
      </c>
      <c r="F16" s="43" t="s">
        <v>16</v>
      </c>
      <c r="G16" s="38">
        <v>204978</v>
      </c>
      <c r="H16" s="30">
        <v>2</v>
      </c>
      <c r="I16" s="43" t="s">
        <v>16</v>
      </c>
      <c r="J16" s="38">
        <v>214185</v>
      </c>
      <c r="K16" s="30">
        <v>2</v>
      </c>
      <c r="L16" s="43" t="s">
        <v>16</v>
      </c>
      <c r="M16" s="38">
        <v>222558</v>
      </c>
      <c r="N16" s="30">
        <v>3</v>
      </c>
      <c r="O16" s="43" t="s">
        <v>16</v>
      </c>
      <c r="P16" s="38">
        <v>347858</v>
      </c>
      <c r="Q16" s="30">
        <v>3</v>
      </c>
      <c r="R16" s="43" t="s">
        <v>16</v>
      </c>
      <c r="S16" s="173">
        <v>362469</v>
      </c>
    </row>
    <row r="17" spans="1:19" ht="12.75">
      <c r="A17" s="135"/>
      <c r="B17" s="30">
        <v>0.45</v>
      </c>
      <c r="C17" s="50" t="s">
        <v>11</v>
      </c>
      <c r="D17" s="38">
        <v>36827</v>
      </c>
      <c r="E17" s="30">
        <v>2</v>
      </c>
      <c r="F17" s="43" t="s">
        <v>11</v>
      </c>
      <c r="G17" s="38">
        <v>171027</v>
      </c>
      <c r="H17" s="30">
        <v>2</v>
      </c>
      <c r="I17" s="43" t="s">
        <v>11</v>
      </c>
      <c r="J17" s="38">
        <v>178709</v>
      </c>
      <c r="K17" s="30">
        <v>2</v>
      </c>
      <c r="L17" s="43" t="s">
        <v>11</v>
      </c>
      <c r="M17" s="38">
        <v>185695</v>
      </c>
      <c r="N17" s="30">
        <v>2</v>
      </c>
      <c r="O17" s="43" t="s">
        <v>11</v>
      </c>
      <c r="P17" s="38">
        <v>193495</v>
      </c>
      <c r="Q17" s="30">
        <v>2</v>
      </c>
      <c r="R17" s="43" t="s">
        <v>11</v>
      </c>
      <c r="S17" s="173">
        <v>201621</v>
      </c>
    </row>
    <row r="18" spans="1:19" ht="12.75">
      <c r="A18" s="135"/>
      <c r="B18" s="30">
        <v>0.315</v>
      </c>
      <c r="C18" s="50" t="s">
        <v>12</v>
      </c>
      <c r="D18" s="38">
        <v>21316</v>
      </c>
      <c r="E18" s="30">
        <v>2</v>
      </c>
      <c r="F18" s="43" t="s">
        <v>12</v>
      </c>
      <c r="G18" s="38">
        <v>141349</v>
      </c>
      <c r="H18" s="30">
        <v>2</v>
      </c>
      <c r="I18" s="43" t="s">
        <v>12</v>
      </c>
      <c r="J18" s="38">
        <v>147698</v>
      </c>
      <c r="K18" s="30">
        <v>2</v>
      </c>
      <c r="L18" s="43" t="s">
        <v>12</v>
      </c>
      <c r="M18" s="38">
        <v>153472</v>
      </c>
      <c r="N18" s="30">
        <v>2</v>
      </c>
      <c r="O18" s="43" t="s">
        <v>12</v>
      </c>
      <c r="P18" s="38">
        <v>159917</v>
      </c>
      <c r="Q18" s="30">
        <v>2</v>
      </c>
      <c r="R18" s="43" t="s">
        <v>12</v>
      </c>
      <c r="S18" s="173">
        <v>166634</v>
      </c>
    </row>
    <row r="19" spans="1:19" ht="12.75">
      <c r="A19" s="135"/>
      <c r="B19" s="30">
        <v>0.158</v>
      </c>
      <c r="C19" s="50" t="s">
        <v>13</v>
      </c>
      <c r="D19" s="38">
        <v>8700</v>
      </c>
      <c r="E19" s="30">
        <v>1</v>
      </c>
      <c r="F19" s="43" t="s">
        <v>13</v>
      </c>
      <c r="G19" s="38">
        <v>57780</v>
      </c>
      <c r="H19" s="30">
        <v>1</v>
      </c>
      <c r="I19" s="43" t="s">
        <v>13</v>
      </c>
      <c r="J19" s="38">
        <v>59072</v>
      </c>
      <c r="K19" s="30">
        <v>1</v>
      </c>
      <c r="L19" s="43" t="s">
        <v>13</v>
      </c>
      <c r="M19" s="38">
        <v>59072</v>
      </c>
      <c r="N19" s="30">
        <v>1</v>
      </c>
      <c r="O19" s="43" t="s">
        <v>13</v>
      </c>
      <c r="P19" s="38">
        <v>59072</v>
      </c>
      <c r="Q19" s="30">
        <v>1</v>
      </c>
      <c r="R19" s="43" t="s">
        <v>13</v>
      </c>
      <c r="S19" s="173">
        <v>59072</v>
      </c>
    </row>
    <row r="20" spans="1:20" s="130" customFormat="1" ht="13.5" thickBot="1">
      <c r="A20" s="140"/>
      <c r="B20" s="100">
        <v>0.113</v>
      </c>
      <c r="C20" s="5" t="s">
        <v>14</v>
      </c>
      <c r="D20" s="152">
        <v>5592</v>
      </c>
      <c r="E20" s="100">
        <v>1</v>
      </c>
      <c r="F20" s="60" t="s">
        <v>14</v>
      </c>
      <c r="G20" s="152">
        <v>51996</v>
      </c>
      <c r="H20" s="100">
        <v>1</v>
      </c>
      <c r="I20" s="148" t="s">
        <v>14</v>
      </c>
      <c r="J20" s="152">
        <v>53159</v>
      </c>
      <c r="K20" s="100">
        <v>1</v>
      </c>
      <c r="L20" s="148" t="s">
        <v>14</v>
      </c>
      <c r="M20" s="152">
        <v>53159</v>
      </c>
      <c r="N20" s="100">
        <v>1</v>
      </c>
      <c r="O20" s="148" t="s">
        <v>14</v>
      </c>
      <c r="P20" s="152">
        <v>49869</v>
      </c>
      <c r="Q20" s="100">
        <v>1</v>
      </c>
      <c r="R20" s="148" t="s">
        <v>14</v>
      </c>
      <c r="S20" s="174">
        <v>53159</v>
      </c>
      <c r="T20" s="184"/>
    </row>
    <row r="21" spans="1:20" ht="12.75">
      <c r="A21" s="136" t="s">
        <v>19</v>
      </c>
      <c r="B21" s="39">
        <f>SUM(B5:B20)</f>
        <v>6.958000000000002</v>
      </c>
      <c r="C21" s="40"/>
      <c r="D21" s="41">
        <f>SUM(D5:D20)</f>
        <v>573905</v>
      </c>
      <c r="E21" s="39">
        <f>SUM(E5:E20)</f>
        <v>26.75</v>
      </c>
      <c r="F21" s="40"/>
      <c r="G21" s="41">
        <f>SUM(G5:G20)</f>
        <v>2093793</v>
      </c>
      <c r="H21" s="39">
        <f>SUM(H5:H20)</f>
        <v>27.75</v>
      </c>
      <c r="I21" s="40"/>
      <c r="J21" s="41">
        <f>SUM(J5:J20)</f>
        <v>2246862</v>
      </c>
      <c r="K21" s="149">
        <f>SUM(K5:K20)</f>
        <v>28.25</v>
      </c>
      <c r="L21" s="72"/>
      <c r="M21" s="41">
        <f>SUM(M5:M20)</f>
        <v>2402965</v>
      </c>
      <c r="N21" s="39">
        <f>SUM(N5:N20)</f>
        <v>29.25</v>
      </c>
      <c r="O21" s="40"/>
      <c r="P21" s="41">
        <f>SUM(P5:P20)</f>
        <v>2585715</v>
      </c>
      <c r="Q21" s="39">
        <f>SUM(Q5:Q20)</f>
        <v>29.75</v>
      </c>
      <c r="R21" s="40"/>
      <c r="S21" s="155">
        <f>SUM(S5:S20)</f>
        <v>2696662</v>
      </c>
      <c r="T21" s="185">
        <f>SUM(D21+G21+J21+M21+P21+S21)</f>
        <v>12599902</v>
      </c>
    </row>
    <row r="22" spans="1:19" ht="12.75">
      <c r="A22" s="135"/>
      <c r="B22" s="47"/>
      <c r="C22" s="48"/>
      <c r="D22" s="190"/>
      <c r="E22" s="47"/>
      <c r="F22" s="48"/>
      <c r="G22" s="190"/>
      <c r="H22" s="47"/>
      <c r="I22" s="48"/>
      <c r="J22" s="190"/>
      <c r="K22" s="47"/>
      <c r="L22" s="48"/>
      <c r="M22" s="190"/>
      <c r="N22" s="47"/>
      <c r="O22" s="48"/>
      <c r="P22" s="190"/>
      <c r="Q22" s="47"/>
      <c r="R22" s="48"/>
      <c r="S22" s="194"/>
    </row>
    <row r="23" spans="1:20" s="138" customFormat="1" ht="51.75" thickBot="1">
      <c r="A23" s="137" t="s">
        <v>24</v>
      </c>
      <c r="B23" s="59">
        <v>1</v>
      </c>
      <c r="D23" s="167">
        <v>152829.6</v>
      </c>
      <c r="E23" s="59">
        <v>9.4</v>
      </c>
      <c r="G23" s="167">
        <v>492627.36</v>
      </c>
      <c r="H23" s="59">
        <v>9.8</v>
      </c>
      <c r="J23" s="167">
        <v>516246.48</v>
      </c>
      <c r="K23" s="59">
        <v>10.4</v>
      </c>
      <c r="M23" s="167">
        <v>549988.08</v>
      </c>
      <c r="N23" s="59">
        <v>11.1</v>
      </c>
      <c r="P23" s="167">
        <v>583729.68</v>
      </c>
      <c r="Q23" s="59">
        <v>11.7</v>
      </c>
      <c r="S23" s="175">
        <v>617471.28</v>
      </c>
      <c r="T23" s="186">
        <f>SUM(D23+G23+J23+M23+P23+S23)</f>
        <v>2912892.4800000004</v>
      </c>
    </row>
    <row r="24" spans="1:20" s="141" customFormat="1" ht="12.75">
      <c r="A24" s="146"/>
      <c r="B24" s="147"/>
      <c r="C24" s="77"/>
      <c r="D24" s="168"/>
      <c r="E24" s="147"/>
      <c r="F24" s="77"/>
      <c r="G24" s="168"/>
      <c r="H24" s="147"/>
      <c r="I24" s="77"/>
      <c r="J24" s="168"/>
      <c r="K24" s="147"/>
      <c r="L24" s="77"/>
      <c r="M24" s="168"/>
      <c r="N24" s="147"/>
      <c r="O24" s="77"/>
      <c r="P24" s="168"/>
      <c r="Q24" s="147"/>
      <c r="R24" s="77"/>
      <c r="S24" s="176"/>
      <c r="T24" s="187"/>
    </row>
    <row r="25" spans="1:20" s="145" customFormat="1" ht="13.5" thickBot="1">
      <c r="A25" s="143" t="s">
        <v>25</v>
      </c>
      <c r="B25" s="80">
        <f>SUM(B21:B24)</f>
        <v>7.958000000000002</v>
      </c>
      <c r="C25" s="125"/>
      <c r="D25" s="164">
        <f>D23+D21</f>
        <v>726734.6</v>
      </c>
      <c r="E25" s="80">
        <f>SUM(E21:E24)</f>
        <v>36.15</v>
      </c>
      <c r="F25" s="125"/>
      <c r="G25" s="164">
        <f>G23+G21</f>
        <v>2586420.36</v>
      </c>
      <c r="H25" s="80">
        <f>SUM(H21:H24)</f>
        <v>37.55</v>
      </c>
      <c r="I25" s="125"/>
      <c r="J25" s="164">
        <f>J23+J21</f>
        <v>2763108.48</v>
      </c>
      <c r="K25" s="80">
        <f>SUM(K21:K24)</f>
        <v>38.65</v>
      </c>
      <c r="L25" s="125"/>
      <c r="M25" s="164">
        <f>M23+M21</f>
        <v>2952953.08</v>
      </c>
      <c r="N25" s="80">
        <f>SUM(N21:N24)</f>
        <v>40.35</v>
      </c>
      <c r="O25" s="125"/>
      <c r="P25" s="164">
        <f>P23+P21</f>
        <v>3169444.68</v>
      </c>
      <c r="Q25" s="80">
        <f>SUM(Q21:Q24)</f>
        <v>41.45</v>
      </c>
      <c r="R25" s="125"/>
      <c r="S25" s="165">
        <f>S23+S21</f>
        <v>3314133.2800000003</v>
      </c>
      <c r="T25" s="188">
        <f>SUM(T21:T23)</f>
        <v>15512794.48</v>
      </c>
    </row>
    <row r="26" ht="12.75">
      <c r="T26" s="38"/>
    </row>
    <row r="27" spans="1:20" s="118" customFormat="1" ht="12.75">
      <c r="A27" s="118" t="s">
        <v>22</v>
      </c>
      <c r="D27" s="196"/>
      <c r="G27" s="196"/>
      <c r="J27" s="196"/>
      <c r="M27" s="196"/>
      <c r="P27" s="196"/>
      <c r="S27" s="196"/>
      <c r="T27" s="38"/>
    </row>
    <row r="28" ht="12.75">
      <c r="T28" s="38"/>
    </row>
    <row r="29" ht="12.75">
      <c r="T29" s="38"/>
    </row>
    <row r="30" ht="12.75">
      <c r="T30" s="38"/>
    </row>
    <row r="31" ht="12.75">
      <c r="T31" s="38"/>
    </row>
    <row r="32" ht="12.75">
      <c r="T32" s="38"/>
    </row>
    <row r="33" ht="12.75">
      <c r="T33" s="38"/>
    </row>
    <row r="34" ht="12.75">
      <c r="T34" s="38"/>
    </row>
    <row r="35" ht="12.75">
      <c r="T35" s="38"/>
    </row>
    <row r="36" ht="12.75">
      <c r="T36" s="38"/>
    </row>
    <row r="37" ht="12.75">
      <c r="T37" s="38"/>
    </row>
    <row r="38" ht="12.75">
      <c r="T38" s="38"/>
    </row>
    <row r="39" ht="12.75">
      <c r="T39" s="38"/>
    </row>
    <row r="40" ht="12.75">
      <c r="T40" s="38"/>
    </row>
    <row r="41" ht="12.75">
      <c r="T41" s="38"/>
    </row>
    <row r="42" ht="12.75">
      <c r="T42" s="38"/>
    </row>
    <row r="43" ht="12.75">
      <c r="T43" s="38"/>
    </row>
    <row r="44" ht="12.75">
      <c r="T44" s="38"/>
    </row>
    <row r="45" ht="12.75">
      <c r="T45" s="38"/>
    </row>
    <row r="46" ht="12.75">
      <c r="T46" s="38"/>
    </row>
    <row r="47" ht="12.75">
      <c r="T47" s="38"/>
    </row>
    <row r="48" ht="12.75">
      <c r="T48" s="38"/>
    </row>
    <row r="49" ht="12.75">
      <c r="T49" s="38"/>
    </row>
    <row r="50" ht="12.75">
      <c r="T50" s="38"/>
    </row>
    <row r="51" ht="12.75">
      <c r="T51" s="38"/>
    </row>
    <row r="52" ht="12.75">
      <c r="T52" s="38"/>
    </row>
    <row r="53" ht="12.75">
      <c r="T53" s="38"/>
    </row>
    <row r="54" ht="12.75">
      <c r="T54" s="38"/>
    </row>
  </sheetData>
  <mergeCells count="8">
    <mergeCell ref="A1:S1"/>
    <mergeCell ref="A2:S2"/>
    <mergeCell ref="K3:M3"/>
    <mergeCell ref="H3:J3"/>
    <mergeCell ref="E3:G3"/>
    <mergeCell ref="B3:D3"/>
    <mergeCell ref="N3:P3"/>
    <mergeCell ref="Q3:S3"/>
  </mergeCells>
  <printOptions horizontalCentered="1" verticalCentered="1"/>
  <pageMargins left="0.75" right="0.75" top="1" bottom="1" header="0.5" footer="0.5"/>
  <pageSetup fitToHeight="1" fitToWidth="1" horizontalDpi="600" verticalDpi="600" orientation="landscape" paperSize="5" scale="80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workbookViewId="0" topLeftCell="A2">
      <selection activeCell="A3" sqref="A3"/>
    </sheetView>
  </sheetViews>
  <sheetFormatPr defaultColWidth="9.140625" defaultRowHeight="12.75"/>
  <cols>
    <col min="1" max="1" width="13.421875" style="0" customWidth="1"/>
    <col min="2" max="3" width="7.57421875" style="0" customWidth="1"/>
    <col min="4" max="4" width="9.57421875" style="191" customWidth="1"/>
    <col min="5" max="5" width="7.57421875" style="0" customWidth="1"/>
    <col min="6" max="6" width="7.57421875" style="0" bestFit="1" customWidth="1"/>
    <col min="7" max="7" width="10.8515625" style="191" customWidth="1"/>
    <col min="8" max="8" width="7.57421875" style="0" customWidth="1"/>
    <col min="9" max="9" width="7.57421875" style="0" bestFit="1" customWidth="1"/>
    <col min="10" max="10" width="11.140625" style="191" bestFit="1" customWidth="1"/>
    <col min="11" max="11" width="7.57421875" style="0" customWidth="1"/>
    <col min="12" max="12" width="7.57421875" style="0" bestFit="1" customWidth="1"/>
    <col min="13" max="13" width="11.140625" style="191" bestFit="1" customWidth="1"/>
    <col min="14" max="14" width="7.57421875" style="0" customWidth="1"/>
    <col min="15" max="15" width="7.57421875" style="0" bestFit="1" customWidth="1"/>
    <col min="16" max="16" width="11.140625" style="191" bestFit="1" customWidth="1"/>
    <col min="17" max="17" width="7.57421875" style="0" customWidth="1"/>
    <col min="18" max="18" width="7.57421875" style="0" bestFit="1" customWidth="1"/>
    <col min="19" max="19" width="11.00390625" style="191" customWidth="1"/>
    <col min="20" max="20" width="12.57421875" style="183" bestFit="1" customWidth="1"/>
  </cols>
  <sheetData>
    <row r="1" spans="1:28" s="19" customFormat="1" ht="29.25" customHeight="1" thickBot="1">
      <c r="A1" s="247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5"/>
      <c r="T1" s="179"/>
      <c r="U1" s="107"/>
      <c r="V1" s="107"/>
      <c r="W1" s="107"/>
      <c r="X1" s="108"/>
      <c r="Y1" s="109"/>
      <c r="Z1" s="109"/>
      <c r="AA1" s="109"/>
      <c r="AB1" s="109"/>
    </row>
    <row r="2" spans="1:20" s="130" customFormat="1" ht="29.25" customHeight="1" thickBot="1">
      <c r="A2" s="228" t="s">
        <v>34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1"/>
      <c r="T2" s="180"/>
    </row>
    <row r="3" spans="1:20" s="154" customFormat="1" ht="51.75" customHeight="1">
      <c r="A3" s="103"/>
      <c r="B3" s="274" t="s">
        <v>20</v>
      </c>
      <c r="C3" s="272"/>
      <c r="D3" s="272"/>
      <c r="E3" s="254" t="s">
        <v>2</v>
      </c>
      <c r="F3" s="272"/>
      <c r="G3" s="272"/>
      <c r="H3" s="254" t="s">
        <v>6</v>
      </c>
      <c r="I3" s="272"/>
      <c r="J3" s="272"/>
      <c r="K3" s="254" t="s">
        <v>3</v>
      </c>
      <c r="L3" s="272"/>
      <c r="M3" s="272"/>
      <c r="N3" s="254" t="s">
        <v>4</v>
      </c>
      <c r="O3" s="272"/>
      <c r="P3" s="272"/>
      <c r="Q3" s="254" t="s">
        <v>5</v>
      </c>
      <c r="R3" s="272"/>
      <c r="S3" s="273"/>
      <c r="T3" s="181" t="s">
        <v>28</v>
      </c>
    </row>
    <row r="4" spans="1:20" ht="12.75">
      <c r="A4" s="136" t="s">
        <v>7</v>
      </c>
      <c r="B4" s="71" t="s">
        <v>17</v>
      </c>
      <c r="C4" s="11"/>
      <c r="D4" s="197" t="s">
        <v>26</v>
      </c>
      <c r="E4" s="71" t="s">
        <v>17</v>
      </c>
      <c r="F4" s="50"/>
      <c r="G4" s="197" t="s">
        <v>26</v>
      </c>
      <c r="H4" s="71" t="s">
        <v>17</v>
      </c>
      <c r="I4" s="50"/>
      <c r="J4" s="197" t="s">
        <v>26</v>
      </c>
      <c r="K4" s="71" t="s">
        <v>17</v>
      </c>
      <c r="L4" s="50"/>
      <c r="M4" s="197" t="s">
        <v>26</v>
      </c>
      <c r="N4" s="71" t="s">
        <v>17</v>
      </c>
      <c r="O4" s="50"/>
      <c r="P4" s="197" t="s">
        <v>26</v>
      </c>
      <c r="Q4" s="71" t="s">
        <v>17</v>
      </c>
      <c r="R4" s="50"/>
      <c r="S4" s="195" t="s">
        <v>26</v>
      </c>
      <c r="T4" s="182"/>
    </row>
    <row r="5" spans="1:20" ht="12.75">
      <c r="A5" s="135"/>
      <c r="B5" s="30">
        <v>0.563</v>
      </c>
      <c r="C5" s="50" t="s">
        <v>8</v>
      </c>
      <c r="D5" s="38">
        <v>73087</v>
      </c>
      <c r="E5" s="30">
        <v>1</v>
      </c>
      <c r="F5" s="50" t="s">
        <v>8</v>
      </c>
      <c r="G5" s="38">
        <v>135672</v>
      </c>
      <c r="H5" s="30">
        <v>1</v>
      </c>
      <c r="I5" s="50" t="s">
        <v>8</v>
      </c>
      <c r="J5" s="38">
        <v>141766</v>
      </c>
      <c r="K5" s="30">
        <v>1</v>
      </c>
      <c r="L5" s="50" t="s">
        <v>8</v>
      </c>
      <c r="M5" s="38">
        <v>147308</v>
      </c>
      <c r="N5" s="30">
        <v>1</v>
      </c>
      <c r="O5" s="50" t="s">
        <v>8</v>
      </c>
      <c r="P5" s="38">
        <v>153495</v>
      </c>
      <c r="Q5" s="30">
        <v>1</v>
      </c>
      <c r="R5" s="50" t="s">
        <v>8</v>
      </c>
      <c r="S5" s="173">
        <v>159942</v>
      </c>
      <c r="T5" s="182"/>
    </row>
    <row r="6" spans="1:20" ht="12.75">
      <c r="A6" s="135"/>
      <c r="B6" s="30">
        <v>0.428</v>
      </c>
      <c r="C6" s="50" t="s">
        <v>9</v>
      </c>
      <c r="D6" s="38">
        <v>47018</v>
      </c>
      <c r="E6" s="30">
        <v>1</v>
      </c>
      <c r="F6" s="50" t="s">
        <v>9</v>
      </c>
      <c r="G6" s="38">
        <v>114915</v>
      </c>
      <c r="H6" s="30">
        <v>1</v>
      </c>
      <c r="I6" s="50" t="s">
        <v>9</v>
      </c>
      <c r="J6" s="38">
        <v>120076</v>
      </c>
      <c r="K6" s="30">
        <v>1</v>
      </c>
      <c r="L6" s="50" t="s">
        <v>9</v>
      </c>
      <c r="M6" s="38">
        <v>147308</v>
      </c>
      <c r="N6" s="30">
        <v>1</v>
      </c>
      <c r="O6" s="50" t="s">
        <v>9</v>
      </c>
      <c r="P6" s="38">
        <v>153495</v>
      </c>
      <c r="Q6" s="30">
        <v>1</v>
      </c>
      <c r="R6" s="50" t="s">
        <v>9</v>
      </c>
      <c r="S6" s="173">
        <v>159942</v>
      </c>
      <c r="T6" s="182"/>
    </row>
    <row r="7" spans="1:19" ht="12.75">
      <c r="A7" s="135"/>
      <c r="B7" s="30">
        <f>0.338+0.338</f>
        <v>0.676</v>
      </c>
      <c r="C7" s="50" t="s">
        <v>10</v>
      </c>
      <c r="D7" s="38">
        <f>31224*2</f>
        <v>62448</v>
      </c>
      <c r="E7" s="30">
        <v>2</v>
      </c>
      <c r="F7" s="50" t="s">
        <v>10</v>
      </c>
      <c r="G7" s="38">
        <f>96634*2</f>
        <v>193268</v>
      </c>
      <c r="H7" s="30">
        <v>2</v>
      </c>
      <c r="I7" s="50" t="s">
        <v>10</v>
      </c>
      <c r="J7" s="38">
        <f>100974*2</f>
        <v>201948</v>
      </c>
      <c r="K7" s="30">
        <v>2</v>
      </c>
      <c r="L7" s="50" t="s">
        <v>10</v>
      </c>
      <c r="M7" s="38">
        <f>124770*2</f>
        <v>249540</v>
      </c>
      <c r="N7" s="30">
        <v>2</v>
      </c>
      <c r="O7" s="50" t="s">
        <v>10</v>
      </c>
      <c r="P7" s="38">
        <f>130011*2</f>
        <v>260022</v>
      </c>
      <c r="Q7" s="30">
        <v>2</v>
      </c>
      <c r="R7" s="50" t="s">
        <v>10</v>
      </c>
      <c r="S7" s="173">
        <f>135471*2</f>
        <v>270942</v>
      </c>
    </row>
    <row r="8" spans="1:19" ht="12.75">
      <c r="A8" s="135"/>
      <c r="B8" s="30">
        <v>0.293</v>
      </c>
      <c r="C8" s="50" t="s">
        <v>11</v>
      </c>
      <c r="D8" s="38">
        <v>22584</v>
      </c>
      <c r="E8" s="30">
        <v>0.5</v>
      </c>
      <c r="F8" s="50" t="s">
        <v>11</v>
      </c>
      <c r="G8" s="38">
        <v>40314</v>
      </c>
      <c r="H8" s="30">
        <v>0.5</v>
      </c>
      <c r="I8" s="50" t="s">
        <v>11</v>
      </c>
      <c r="J8" s="38">
        <v>42125</v>
      </c>
      <c r="K8" s="30">
        <v>0.5</v>
      </c>
      <c r="L8" s="50" t="s">
        <v>11</v>
      </c>
      <c r="M8" s="38">
        <v>43772</v>
      </c>
      <c r="N8" s="30">
        <v>0.5</v>
      </c>
      <c r="O8" s="50" t="s">
        <v>11</v>
      </c>
      <c r="P8" s="38">
        <v>45610</v>
      </c>
      <c r="Q8" s="30">
        <v>0.5</v>
      </c>
      <c r="R8" s="50" t="s">
        <v>11</v>
      </c>
      <c r="S8" s="173">
        <v>47526</v>
      </c>
    </row>
    <row r="9" spans="1:19" ht="12.75">
      <c r="A9" s="135"/>
      <c r="B9" s="71" t="s">
        <v>30</v>
      </c>
      <c r="C9" s="50"/>
      <c r="D9" s="38"/>
      <c r="E9" s="71" t="s">
        <v>30</v>
      </c>
      <c r="F9" s="50"/>
      <c r="G9" s="38"/>
      <c r="H9" s="71" t="s">
        <v>30</v>
      </c>
      <c r="I9" s="50"/>
      <c r="J9" s="38"/>
      <c r="K9" s="71" t="s">
        <v>30</v>
      </c>
      <c r="L9" s="50"/>
      <c r="M9" s="38"/>
      <c r="N9" s="71" t="s">
        <v>30</v>
      </c>
      <c r="O9" s="50"/>
      <c r="P9" s="38"/>
      <c r="Q9" s="71" t="s">
        <v>30</v>
      </c>
      <c r="R9" s="50"/>
      <c r="S9" s="173"/>
    </row>
    <row r="10" spans="1:19" ht="12.75">
      <c r="A10" s="135"/>
      <c r="B10" s="30">
        <v>0.473</v>
      </c>
      <c r="C10" s="50" t="s">
        <v>11</v>
      </c>
      <c r="D10" s="38">
        <v>36458</v>
      </c>
      <c r="E10" s="30">
        <v>1</v>
      </c>
      <c r="F10" s="50" t="s">
        <v>11</v>
      </c>
      <c r="G10" s="38">
        <v>80628</v>
      </c>
      <c r="H10" s="30">
        <v>1</v>
      </c>
      <c r="I10" s="50" t="s">
        <v>11</v>
      </c>
      <c r="J10" s="38">
        <v>84250</v>
      </c>
      <c r="K10" s="30">
        <v>1</v>
      </c>
      <c r="L10" s="50" t="s">
        <v>11</v>
      </c>
      <c r="M10" s="38">
        <v>87543</v>
      </c>
      <c r="N10" s="30">
        <v>1</v>
      </c>
      <c r="O10" s="50" t="s">
        <v>11</v>
      </c>
      <c r="P10" s="38">
        <v>91220</v>
      </c>
      <c r="Q10" s="30">
        <v>1</v>
      </c>
      <c r="R10" s="50" t="s">
        <v>11</v>
      </c>
      <c r="S10" s="173">
        <v>95051</v>
      </c>
    </row>
    <row r="11" spans="1:19" ht="12.75">
      <c r="A11" s="135"/>
      <c r="B11" s="46">
        <v>0.451</v>
      </c>
      <c r="C11" s="50" t="s">
        <v>12</v>
      </c>
      <c r="D11" s="38">
        <f>16465+13970</f>
        <v>30435</v>
      </c>
      <c r="E11" s="30">
        <v>2</v>
      </c>
      <c r="F11" s="50" t="s">
        <v>12</v>
      </c>
      <c r="G11" s="38">
        <f>70278+72879</f>
        <v>143157</v>
      </c>
      <c r="H11" s="30">
        <v>2</v>
      </c>
      <c r="I11" s="50" t="s">
        <v>12</v>
      </c>
      <c r="J11" s="38">
        <f>73434+76152</f>
        <v>149586</v>
      </c>
      <c r="K11" s="30">
        <v>2</v>
      </c>
      <c r="L11" s="50" t="s">
        <v>12</v>
      </c>
      <c r="M11" s="38">
        <f>76305+79129</f>
        <v>155434</v>
      </c>
      <c r="N11" s="30">
        <v>3</v>
      </c>
      <c r="O11" s="50" t="s">
        <v>12</v>
      </c>
      <c r="P11" s="38">
        <f>79510+82453+76913</f>
        <v>238876</v>
      </c>
      <c r="Q11" s="30">
        <v>3</v>
      </c>
      <c r="R11" s="50" t="s">
        <v>12</v>
      </c>
      <c r="S11" s="173">
        <f>82849+85916+80143</f>
        <v>248908</v>
      </c>
    </row>
    <row r="12" spans="1:19" ht="12.75">
      <c r="A12" s="135"/>
      <c r="B12" s="30">
        <f>0.191+0.27+0.18+0.135+0.18+0.428+0.158+0.158</f>
        <v>1.6999999999999997</v>
      </c>
      <c r="C12" s="50" t="s">
        <v>13</v>
      </c>
      <c r="D12" s="38">
        <f>9973+14088+9374+7031+10152+23278+8286+8203</f>
        <v>90385</v>
      </c>
      <c r="E12" s="30">
        <v>8</v>
      </c>
      <c r="F12" s="50" t="s">
        <v>13</v>
      </c>
      <c r="G12" s="38">
        <f>27517+55033+55033+27517+59600+114943+55595+55033</f>
        <v>450271</v>
      </c>
      <c r="H12" s="30">
        <v>8.5</v>
      </c>
      <c r="I12" s="50" t="s">
        <v>13</v>
      </c>
      <c r="J12" s="38">
        <f>28132+56264+56264+28132+91399+117513+56838+56264</f>
        <v>490806</v>
      </c>
      <c r="K12" s="30">
        <v>9</v>
      </c>
      <c r="L12" s="50" t="s">
        <v>13</v>
      </c>
      <c r="M12" s="38">
        <f>28132+56264+56264+28132+121866+117513+56838+56264</f>
        <v>521273</v>
      </c>
      <c r="N12" s="30">
        <v>8</v>
      </c>
      <c r="O12" s="50" t="s">
        <v>13</v>
      </c>
      <c r="P12" s="38">
        <f>28132+56264+56264+28132+121866+117513+56264</f>
        <v>464435</v>
      </c>
      <c r="Q12" s="30">
        <v>9</v>
      </c>
      <c r="R12" s="50" t="s">
        <v>13</v>
      </c>
      <c r="S12" s="173">
        <f>(56264*4)+28132+121866+117513+28419</f>
        <v>520986</v>
      </c>
    </row>
    <row r="13" spans="1:19" ht="12.75">
      <c r="A13" s="135"/>
      <c r="B13" s="30">
        <v>0.113</v>
      </c>
      <c r="C13" s="50" t="s">
        <v>14</v>
      </c>
      <c r="D13" s="38">
        <v>5273</v>
      </c>
      <c r="E13" s="30">
        <v>1</v>
      </c>
      <c r="F13" s="50" t="s">
        <v>14</v>
      </c>
      <c r="G13" s="38">
        <v>49026</v>
      </c>
      <c r="H13" s="30">
        <v>1</v>
      </c>
      <c r="I13" s="50" t="s">
        <v>14</v>
      </c>
      <c r="J13" s="38">
        <v>50122</v>
      </c>
      <c r="K13" s="30">
        <v>1</v>
      </c>
      <c r="L13" s="50" t="s">
        <v>14</v>
      </c>
      <c r="M13" s="38">
        <v>50122</v>
      </c>
      <c r="N13" s="30">
        <v>1</v>
      </c>
      <c r="O13" s="50" t="s">
        <v>14</v>
      </c>
      <c r="P13" s="38">
        <v>50122</v>
      </c>
      <c r="Q13" s="30">
        <v>1</v>
      </c>
      <c r="R13" s="50" t="s">
        <v>14</v>
      </c>
      <c r="S13" s="173">
        <v>50122</v>
      </c>
    </row>
    <row r="14" spans="1:19" ht="12.75">
      <c r="A14" s="135"/>
      <c r="B14" s="71" t="s">
        <v>18</v>
      </c>
      <c r="C14" s="50"/>
      <c r="D14" s="38"/>
      <c r="E14" s="71" t="s">
        <v>18</v>
      </c>
      <c r="F14" s="50"/>
      <c r="G14" s="38"/>
      <c r="H14" s="71" t="s">
        <v>18</v>
      </c>
      <c r="I14" s="50"/>
      <c r="J14" s="38"/>
      <c r="K14" s="71" t="s">
        <v>18</v>
      </c>
      <c r="L14" s="50"/>
      <c r="M14" s="38"/>
      <c r="N14" s="71" t="s">
        <v>18</v>
      </c>
      <c r="O14" s="50"/>
      <c r="P14" s="38"/>
      <c r="Q14" s="71" t="s">
        <v>18</v>
      </c>
      <c r="R14" s="50"/>
      <c r="S14" s="173"/>
    </row>
    <row r="15" spans="1:19" ht="12.75">
      <c r="A15" s="135"/>
      <c r="B15" s="30">
        <v>0.473</v>
      </c>
      <c r="C15" s="50" t="s">
        <v>15</v>
      </c>
      <c r="D15" s="38">
        <v>51961</v>
      </c>
      <c r="E15" s="30">
        <v>1</v>
      </c>
      <c r="F15" s="50" t="s">
        <v>15</v>
      </c>
      <c r="G15" s="38">
        <v>114915</v>
      </c>
      <c r="H15" s="30">
        <v>1</v>
      </c>
      <c r="I15" s="50" t="s">
        <v>15</v>
      </c>
      <c r="J15" s="38">
        <v>120076</v>
      </c>
      <c r="K15" s="30">
        <v>1</v>
      </c>
      <c r="L15" s="50" t="s">
        <v>15</v>
      </c>
      <c r="M15" s="38">
        <v>124770</v>
      </c>
      <c r="N15" s="30">
        <v>1</v>
      </c>
      <c r="O15" s="50" t="s">
        <v>15</v>
      </c>
      <c r="P15" s="38">
        <v>130011</v>
      </c>
      <c r="Q15" s="30">
        <v>1</v>
      </c>
      <c r="R15" s="50" t="s">
        <v>15</v>
      </c>
      <c r="S15" s="173">
        <v>135471</v>
      </c>
    </row>
    <row r="16" spans="1:19" ht="12.75">
      <c r="A16" s="135"/>
      <c r="B16" s="30">
        <v>0.45</v>
      </c>
      <c r="C16" s="50" t="s">
        <v>16</v>
      </c>
      <c r="D16" s="38">
        <v>41616</v>
      </c>
      <c r="E16" s="30">
        <v>2</v>
      </c>
      <c r="F16" s="50" t="s">
        <v>16</v>
      </c>
      <c r="G16" s="38">
        <v>193268</v>
      </c>
      <c r="H16" s="30">
        <v>2</v>
      </c>
      <c r="I16" s="43" t="s">
        <v>16</v>
      </c>
      <c r="J16" s="38">
        <v>201948</v>
      </c>
      <c r="K16" s="30">
        <v>2</v>
      </c>
      <c r="L16" s="50" t="s">
        <v>16</v>
      </c>
      <c r="M16" s="38">
        <v>209843</v>
      </c>
      <c r="N16" s="30">
        <v>2</v>
      </c>
      <c r="O16" s="50" t="s">
        <v>16</v>
      </c>
      <c r="P16" s="38">
        <v>218656</v>
      </c>
      <c r="Q16" s="30">
        <v>3</v>
      </c>
      <c r="R16" s="50" t="s">
        <v>16</v>
      </c>
      <c r="S16" s="173">
        <v>341760</v>
      </c>
    </row>
    <row r="17" spans="1:19" ht="12.75">
      <c r="A17" s="135"/>
      <c r="B17" s="30">
        <v>0.473</v>
      </c>
      <c r="C17" s="50" t="s">
        <v>11</v>
      </c>
      <c r="D17" s="38">
        <v>36458</v>
      </c>
      <c r="E17" s="30">
        <v>2</v>
      </c>
      <c r="F17" s="50" t="s">
        <v>11</v>
      </c>
      <c r="G17" s="38">
        <v>161257</v>
      </c>
      <c r="H17" s="30">
        <v>2</v>
      </c>
      <c r="I17" s="50" t="s">
        <v>11</v>
      </c>
      <c r="J17" s="38">
        <v>168500</v>
      </c>
      <c r="K17" s="30">
        <v>2</v>
      </c>
      <c r="L17" s="50" t="s">
        <v>11</v>
      </c>
      <c r="M17" s="38">
        <v>175087</v>
      </c>
      <c r="N17" s="30">
        <v>2</v>
      </c>
      <c r="O17" s="50" t="s">
        <v>11</v>
      </c>
      <c r="P17" s="38">
        <v>182440</v>
      </c>
      <c r="Q17" s="30">
        <v>2</v>
      </c>
      <c r="R17" s="50" t="s">
        <v>11</v>
      </c>
      <c r="S17" s="173">
        <v>190103</v>
      </c>
    </row>
    <row r="18" spans="1:19" ht="12.75">
      <c r="A18" s="135"/>
      <c r="B18" s="30">
        <v>0.203</v>
      </c>
      <c r="C18" s="50" t="s">
        <v>12</v>
      </c>
      <c r="D18" s="38">
        <v>12900</v>
      </c>
      <c r="E18" s="30">
        <v>1</v>
      </c>
      <c r="F18" s="50" t="s">
        <v>12</v>
      </c>
      <c r="G18" s="38">
        <v>66636</v>
      </c>
      <c r="H18" s="30">
        <v>1</v>
      </c>
      <c r="I18" s="50" t="s">
        <v>12</v>
      </c>
      <c r="J18" s="38">
        <v>69630</v>
      </c>
      <c r="K18" s="30">
        <v>2</v>
      </c>
      <c r="L18" s="50" t="s">
        <v>12</v>
      </c>
      <c r="M18" s="38">
        <v>144703</v>
      </c>
      <c r="N18" s="30">
        <v>2</v>
      </c>
      <c r="O18" s="50" t="s">
        <v>12</v>
      </c>
      <c r="P18" s="38">
        <v>150780</v>
      </c>
      <c r="Q18" s="30">
        <v>2</v>
      </c>
      <c r="R18" s="50" t="s">
        <v>12</v>
      </c>
      <c r="S18" s="173">
        <v>157113</v>
      </c>
    </row>
    <row r="19" spans="1:19" ht="12.75">
      <c r="A19" s="135"/>
      <c r="B19" s="30">
        <v>0.158</v>
      </c>
      <c r="C19" s="50" t="s">
        <v>13</v>
      </c>
      <c r="D19" s="38">
        <v>8203</v>
      </c>
      <c r="E19" s="30">
        <v>1</v>
      </c>
      <c r="F19" s="50" t="s">
        <v>13</v>
      </c>
      <c r="G19" s="38">
        <v>54479</v>
      </c>
      <c r="H19" s="30">
        <v>2</v>
      </c>
      <c r="I19" s="50" t="s">
        <v>13</v>
      </c>
      <c r="J19" s="38">
        <v>111394</v>
      </c>
      <c r="K19" s="30">
        <v>2</v>
      </c>
      <c r="L19" s="50" t="s">
        <v>13</v>
      </c>
      <c r="M19" s="38">
        <v>111394</v>
      </c>
      <c r="N19" s="30">
        <v>2</v>
      </c>
      <c r="O19" s="50" t="s">
        <v>13</v>
      </c>
      <c r="P19" s="38">
        <v>111394</v>
      </c>
      <c r="Q19" s="30">
        <v>2</v>
      </c>
      <c r="R19" s="50" t="s">
        <v>13</v>
      </c>
      <c r="S19" s="173">
        <v>111394</v>
      </c>
    </row>
    <row r="20" spans="1:20" s="130" customFormat="1" ht="13.5" thickBot="1">
      <c r="A20" s="140"/>
      <c r="B20" s="100">
        <v>0.113</v>
      </c>
      <c r="C20" s="5" t="s">
        <v>14</v>
      </c>
      <c r="D20" s="152">
        <v>5273</v>
      </c>
      <c r="E20" s="100">
        <v>1</v>
      </c>
      <c r="F20" s="5" t="s">
        <v>14</v>
      </c>
      <c r="G20" s="152">
        <v>49026</v>
      </c>
      <c r="H20" s="100">
        <v>1</v>
      </c>
      <c r="I20" s="5" t="s">
        <v>14</v>
      </c>
      <c r="J20" s="152">
        <v>50122</v>
      </c>
      <c r="K20" s="100">
        <v>1</v>
      </c>
      <c r="L20" s="5" t="s">
        <v>14</v>
      </c>
      <c r="M20" s="152">
        <v>50122</v>
      </c>
      <c r="N20" s="100">
        <v>1</v>
      </c>
      <c r="O20" s="5" t="s">
        <v>14</v>
      </c>
      <c r="P20" s="152">
        <v>50122</v>
      </c>
      <c r="Q20" s="100">
        <v>1</v>
      </c>
      <c r="R20" s="5" t="s">
        <v>14</v>
      </c>
      <c r="S20" s="174">
        <v>50122</v>
      </c>
      <c r="T20" s="184"/>
    </row>
    <row r="21" spans="1:20" ht="12.75">
      <c r="A21" s="136" t="s">
        <v>19</v>
      </c>
      <c r="B21" s="39">
        <f>SUM(B5:B20)</f>
        <v>6.567000000000001</v>
      </c>
      <c r="C21" s="96"/>
      <c r="D21" s="41">
        <f>SUM(D5:D20)</f>
        <v>524099</v>
      </c>
      <c r="E21" s="39">
        <f>SUM(E5:E20)</f>
        <v>24.5</v>
      </c>
      <c r="F21" s="96"/>
      <c r="G21" s="41">
        <f>SUM(G5:G20)</f>
        <v>1846832</v>
      </c>
      <c r="H21" s="39">
        <f>SUM(H5:H20)</f>
        <v>26</v>
      </c>
      <c r="I21" s="96"/>
      <c r="J21" s="41">
        <f>SUM(J5:J20)</f>
        <v>2002349</v>
      </c>
      <c r="K21" s="39">
        <f>SUM(K5:K20)</f>
        <v>27.5</v>
      </c>
      <c r="L21" s="96"/>
      <c r="M21" s="41">
        <f>SUM(M5:M20)</f>
        <v>2218219</v>
      </c>
      <c r="N21" s="39">
        <f>SUM(N5:N20)</f>
        <v>27.5</v>
      </c>
      <c r="O21" s="96"/>
      <c r="P21" s="41">
        <f>SUM(P5:P20)</f>
        <v>2300678</v>
      </c>
      <c r="Q21" s="39">
        <f>SUM(Q5:Q20)</f>
        <v>29.5</v>
      </c>
      <c r="R21" s="96"/>
      <c r="S21" s="155">
        <f>SUM(S5:S20)</f>
        <v>2539382</v>
      </c>
      <c r="T21" s="185">
        <f>SUM(D21+G21+J21+M21+P21+S21)</f>
        <v>11431559</v>
      </c>
    </row>
    <row r="22" spans="1:19" ht="12.75">
      <c r="A22" s="135"/>
      <c r="B22" s="129"/>
      <c r="C22" s="95"/>
      <c r="D22" s="190"/>
      <c r="E22" s="47"/>
      <c r="F22" s="48"/>
      <c r="G22" s="190"/>
      <c r="H22" s="47"/>
      <c r="I22" s="48"/>
      <c r="J22" s="190"/>
      <c r="K22" s="129"/>
      <c r="L22" s="95"/>
      <c r="M22" s="190"/>
      <c r="N22" s="129"/>
      <c r="O22" s="95"/>
      <c r="P22" s="190"/>
      <c r="Q22" s="129"/>
      <c r="R22" s="95"/>
      <c r="S22" s="194"/>
    </row>
    <row r="23" spans="1:20" s="75" customFormat="1" ht="51.75" thickBot="1">
      <c r="A23" s="137" t="s">
        <v>24</v>
      </c>
      <c r="B23" s="59">
        <v>1</v>
      </c>
      <c r="D23" s="167">
        <v>152829.6</v>
      </c>
      <c r="E23" s="59">
        <v>9.6</v>
      </c>
      <c r="G23" s="167">
        <v>502749.84</v>
      </c>
      <c r="H23" s="59">
        <v>10.1</v>
      </c>
      <c r="J23" s="167">
        <v>529743.12</v>
      </c>
      <c r="K23" s="59">
        <v>10.7</v>
      </c>
      <c r="M23" s="167">
        <v>563484.72</v>
      </c>
      <c r="N23" s="59">
        <v>11.3</v>
      </c>
      <c r="P23" s="167">
        <v>593852.16</v>
      </c>
      <c r="Q23" s="59">
        <v>11.9</v>
      </c>
      <c r="S23" s="175">
        <v>624219.6</v>
      </c>
      <c r="T23" s="186">
        <f>SUM(D23+G23+J23+M23+P23+S23)</f>
        <v>2966879.04</v>
      </c>
    </row>
    <row r="24" spans="1:20" s="144" customFormat="1" ht="12.75">
      <c r="A24" s="142"/>
      <c r="B24" s="160"/>
      <c r="C24" s="161"/>
      <c r="D24" s="199"/>
      <c r="E24" s="160"/>
      <c r="F24" s="161"/>
      <c r="G24" s="199"/>
      <c r="H24" s="160"/>
      <c r="I24" s="161"/>
      <c r="J24" s="199"/>
      <c r="K24" s="160"/>
      <c r="L24" s="161"/>
      <c r="M24" s="199"/>
      <c r="N24" s="160"/>
      <c r="O24" s="161"/>
      <c r="P24" s="199"/>
      <c r="Q24" s="160"/>
      <c r="R24" s="161"/>
      <c r="S24" s="198"/>
      <c r="T24" s="187"/>
    </row>
    <row r="25" spans="1:20" s="122" customFormat="1" ht="13.5" thickBot="1">
      <c r="A25" s="143" t="s">
        <v>25</v>
      </c>
      <c r="B25" s="80">
        <f>SUM(B21:B24)</f>
        <v>7.567000000000001</v>
      </c>
      <c r="C25" s="125"/>
      <c r="D25" s="164">
        <f>D23+D21</f>
        <v>676928.6</v>
      </c>
      <c r="E25" s="80">
        <f>SUM(E21:E24)</f>
        <v>34.1</v>
      </c>
      <c r="F25" s="125"/>
      <c r="G25" s="164">
        <f>G23+G21</f>
        <v>2349581.84</v>
      </c>
      <c r="H25" s="80">
        <f>SUM(H21:H24)</f>
        <v>36.1</v>
      </c>
      <c r="I25" s="125"/>
      <c r="J25" s="164">
        <f>J23+J21</f>
        <v>2532092.12</v>
      </c>
      <c r="K25" s="80">
        <f>SUM(K21:K24)</f>
        <v>38.2</v>
      </c>
      <c r="L25" s="125"/>
      <c r="M25" s="164">
        <f>M23+M21</f>
        <v>2781703.7199999997</v>
      </c>
      <c r="N25" s="80">
        <f>SUM(N21:N24)</f>
        <v>38.8</v>
      </c>
      <c r="O25" s="125"/>
      <c r="P25" s="164">
        <f>P23+P21</f>
        <v>2894530.16</v>
      </c>
      <c r="Q25" s="80">
        <f>SUM(Q20:Q23)</f>
        <v>42.4</v>
      </c>
      <c r="R25" s="125"/>
      <c r="S25" s="165">
        <f>S23+S21</f>
        <v>3163601.6</v>
      </c>
      <c r="T25" s="188">
        <f>SUM(T21:T23)</f>
        <v>14398438.04</v>
      </c>
    </row>
    <row r="26" spans="1:20" s="118" customFormat="1" ht="33.75" customHeight="1">
      <c r="A26" s="118" t="s">
        <v>22</v>
      </c>
      <c r="D26" s="196"/>
      <c r="G26" s="196"/>
      <c r="H26" s="153"/>
      <c r="J26" s="196"/>
      <c r="M26" s="196"/>
      <c r="P26" s="196"/>
      <c r="S26" s="196"/>
      <c r="T26" s="38"/>
    </row>
    <row r="27" ht="12.75">
      <c r="T27" s="38"/>
    </row>
    <row r="28" ht="12.75">
      <c r="T28" s="38"/>
    </row>
    <row r="29" ht="12.75">
      <c r="T29" s="38"/>
    </row>
    <row r="30" ht="12.75">
      <c r="T30" s="38"/>
    </row>
    <row r="31" ht="12.75">
      <c r="T31" s="38"/>
    </row>
    <row r="32" ht="12.75">
      <c r="T32" s="38"/>
    </row>
    <row r="33" ht="12.75">
      <c r="T33" s="38"/>
    </row>
    <row r="34" ht="12.75">
      <c r="T34" s="38"/>
    </row>
    <row r="35" ht="12.75">
      <c r="T35" s="38"/>
    </row>
    <row r="36" ht="12.75">
      <c r="T36" s="38"/>
    </row>
    <row r="37" ht="12.75">
      <c r="T37" s="38"/>
    </row>
    <row r="38" ht="12.75">
      <c r="T38" s="38"/>
    </row>
    <row r="39" ht="12.75">
      <c r="T39" s="38"/>
    </row>
    <row r="40" ht="12.75">
      <c r="T40" s="38"/>
    </row>
    <row r="41" ht="12.75">
      <c r="T41" s="38"/>
    </row>
    <row r="42" ht="12.75">
      <c r="T42" s="38"/>
    </row>
    <row r="43" ht="12.75">
      <c r="T43" s="38"/>
    </row>
    <row r="44" ht="12.75">
      <c r="T44" s="38"/>
    </row>
    <row r="45" ht="12.75">
      <c r="T45" s="38"/>
    </row>
    <row r="46" ht="12.75">
      <c r="T46" s="38"/>
    </row>
    <row r="47" ht="12.75">
      <c r="T47" s="38"/>
    </row>
    <row r="48" ht="12.75">
      <c r="T48" s="38"/>
    </row>
    <row r="49" ht="12.75">
      <c r="T49" s="38"/>
    </row>
    <row r="50" ht="12.75">
      <c r="T50" s="38"/>
    </row>
    <row r="51" ht="12.75">
      <c r="T51" s="38"/>
    </row>
    <row r="52" ht="12.75">
      <c r="T52" s="38"/>
    </row>
    <row r="53" ht="12.75">
      <c r="T53" s="38"/>
    </row>
    <row r="54" ht="12.75">
      <c r="T54" s="38"/>
    </row>
  </sheetData>
  <mergeCells count="8">
    <mergeCell ref="A1:S1"/>
    <mergeCell ref="A2:S2"/>
    <mergeCell ref="N3:P3"/>
    <mergeCell ref="Q3:S3"/>
    <mergeCell ref="B3:D3"/>
    <mergeCell ref="E3:G3"/>
    <mergeCell ref="H3:J3"/>
    <mergeCell ref="K3:M3"/>
  </mergeCells>
  <printOptions horizontalCentered="1" verticalCentered="1"/>
  <pageMargins left="0.75" right="0.75" top="1" bottom="1" header="0.5" footer="0.5"/>
  <pageSetup fitToHeight="1" fitToWidth="1" horizontalDpi="600" verticalDpi="600" orientation="landscape" paperSize="5" scale="89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workbookViewId="0" topLeftCell="K10">
      <selection activeCell="P10" sqref="P1:P16384"/>
    </sheetView>
  </sheetViews>
  <sheetFormatPr defaultColWidth="9.140625" defaultRowHeight="12.75"/>
  <cols>
    <col min="1" max="1" width="13.57421875" style="0" customWidth="1"/>
    <col min="2" max="2" width="7.57421875" style="0" customWidth="1"/>
    <col min="3" max="3" width="7.57421875" style="0" bestFit="1" customWidth="1"/>
    <col min="4" max="4" width="10.8515625" style="236" customWidth="1"/>
    <col min="5" max="5" width="7.57421875" style="0" customWidth="1"/>
    <col min="6" max="6" width="7.57421875" style="0" bestFit="1" customWidth="1"/>
    <col min="7" max="7" width="10.8515625" style="236" bestFit="1" customWidth="1"/>
    <col min="8" max="8" width="7.57421875" style="0" customWidth="1"/>
    <col min="9" max="9" width="7.57421875" style="0" bestFit="1" customWidth="1"/>
    <col min="10" max="10" width="10.8515625" style="236" bestFit="1" customWidth="1"/>
    <col min="11" max="11" width="7.57421875" style="0" customWidth="1"/>
    <col min="12" max="12" width="7.57421875" style="0" bestFit="1" customWidth="1"/>
    <col min="13" max="13" width="10.8515625" style="236" bestFit="1" customWidth="1"/>
    <col min="14" max="14" width="7.57421875" style="0" customWidth="1"/>
    <col min="15" max="15" width="7.57421875" style="0" bestFit="1" customWidth="1"/>
    <col min="16" max="16" width="10.8515625" style="236" bestFit="1" customWidth="1"/>
    <col min="17" max="17" width="7.57421875" style="0" customWidth="1"/>
    <col min="18" max="18" width="7.57421875" style="0" bestFit="1" customWidth="1"/>
    <col min="19" max="19" width="10.8515625" style="0" bestFit="1" customWidth="1"/>
    <col min="20" max="20" width="12.57421875" style="183" bestFit="1" customWidth="1"/>
  </cols>
  <sheetData>
    <row r="1" spans="1:28" s="19" customFormat="1" ht="29.25" customHeight="1" thickBot="1">
      <c r="A1" s="247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5"/>
      <c r="T1" s="179"/>
      <c r="U1" s="107"/>
      <c r="V1" s="107"/>
      <c r="W1" s="107"/>
      <c r="X1" s="108"/>
      <c r="Y1" s="109"/>
      <c r="Z1" s="109"/>
      <c r="AA1" s="109"/>
      <c r="AB1" s="109"/>
    </row>
    <row r="2" spans="1:20" s="157" customFormat="1" ht="29.25" customHeight="1" thickBot="1">
      <c r="A2" s="275" t="s">
        <v>31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7"/>
      <c r="T2" s="180"/>
    </row>
    <row r="3" spans="1:20" s="151" customFormat="1" ht="52.5" customHeight="1">
      <c r="A3" s="53"/>
      <c r="B3" s="279" t="s">
        <v>20</v>
      </c>
      <c r="C3" s="258"/>
      <c r="D3" s="258"/>
      <c r="E3" s="257" t="s">
        <v>2</v>
      </c>
      <c r="F3" s="258"/>
      <c r="G3" s="258"/>
      <c r="H3" s="257" t="s">
        <v>6</v>
      </c>
      <c r="I3" s="258"/>
      <c r="J3" s="258"/>
      <c r="K3" s="257" t="s">
        <v>3</v>
      </c>
      <c r="L3" s="258"/>
      <c r="M3" s="258"/>
      <c r="N3" s="257" t="s">
        <v>4</v>
      </c>
      <c r="O3" s="258"/>
      <c r="P3" s="258"/>
      <c r="Q3" s="257" t="s">
        <v>5</v>
      </c>
      <c r="R3" s="258"/>
      <c r="S3" s="278"/>
      <c r="T3" s="181" t="s">
        <v>28</v>
      </c>
    </row>
    <row r="4" spans="1:20" ht="12.75">
      <c r="A4" s="136" t="s">
        <v>7</v>
      </c>
      <c r="B4" s="71" t="s">
        <v>17</v>
      </c>
      <c r="C4" s="11"/>
      <c r="D4" s="233" t="s">
        <v>26</v>
      </c>
      <c r="E4" s="43" t="s">
        <v>17</v>
      </c>
      <c r="F4" s="50"/>
      <c r="G4" s="233" t="s">
        <v>26</v>
      </c>
      <c r="H4" s="43" t="s">
        <v>17</v>
      </c>
      <c r="I4" s="50"/>
      <c r="J4" s="233" t="s">
        <v>26</v>
      </c>
      <c r="K4" s="43" t="s">
        <v>17</v>
      </c>
      <c r="L4" s="50"/>
      <c r="M4" s="233" t="s">
        <v>26</v>
      </c>
      <c r="N4" s="43" t="s">
        <v>17</v>
      </c>
      <c r="O4" s="50"/>
      <c r="P4" s="233" t="s">
        <v>26</v>
      </c>
      <c r="Q4" s="43" t="s">
        <v>17</v>
      </c>
      <c r="R4" s="50"/>
      <c r="S4" s="131" t="s">
        <v>26</v>
      </c>
      <c r="T4" s="182"/>
    </row>
    <row r="5" spans="1:20" ht="12.75">
      <c r="A5" s="135"/>
      <c r="B5" s="30">
        <v>0.563</v>
      </c>
      <c r="C5" s="50" t="s">
        <v>8</v>
      </c>
      <c r="D5" s="234">
        <v>73277</v>
      </c>
      <c r="E5" s="29">
        <v>1</v>
      </c>
      <c r="F5" s="50" t="s">
        <v>8</v>
      </c>
      <c r="G5" s="240">
        <v>136024</v>
      </c>
      <c r="H5" s="29">
        <v>1</v>
      </c>
      <c r="I5" s="50" t="s">
        <v>8</v>
      </c>
      <c r="J5" s="240">
        <v>142134</v>
      </c>
      <c r="K5" s="29">
        <v>1</v>
      </c>
      <c r="L5" s="50" t="s">
        <v>8</v>
      </c>
      <c r="M5" s="240">
        <v>147690</v>
      </c>
      <c r="N5" s="29">
        <v>1</v>
      </c>
      <c r="O5" s="50" t="s">
        <v>8</v>
      </c>
      <c r="P5" s="240">
        <v>153893</v>
      </c>
      <c r="Q5" s="29">
        <v>1</v>
      </c>
      <c r="R5" s="50" t="s">
        <v>8</v>
      </c>
      <c r="S5" s="94">
        <v>160357</v>
      </c>
      <c r="T5" s="182"/>
    </row>
    <row r="6" spans="1:20" ht="12.75">
      <c r="A6" s="135"/>
      <c r="B6" s="30">
        <v>0.518</v>
      </c>
      <c r="C6" s="50" t="s">
        <v>9</v>
      </c>
      <c r="D6" s="234">
        <v>57052</v>
      </c>
      <c r="E6" s="29">
        <v>1</v>
      </c>
      <c r="F6" s="50" t="s">
        <v>9</v>
      </c>
      <c r="G6" s="240">
        <v>115213</v>
      </c>
      <c r="H6" s="29">
        <v>1</v>
      </c>
      <c r="I6" s="50" t="s">
        <v>9</v>
      </c>
      <c r="J6" s="240">
        <v>120388</v>
      </c>
      <c r="K6" s="29">
        <v>1</v>
      </c>
      <c r="L6" s="50" t="s">
        <v>9</v>
      </c>
      <c r="M6" s="240">
        <v>147690</v>
      </c>
      <c r="N6" s="29">
        <v>1</v>
      </c>
      <c r="O6" s="50" t="s">
        <v>9</v>
      </c>
      <c r="P6" s="240">
        <v>153893</v>
      </c>
      <c r="Q6" s="29">
        <v>1</v>
      </c>
      <c r="R6" s="50" t="s">
        <v>9</v>
      </c>
      <c r="S6" s="94">
        <v>160357</v>
      </c>
      <c r="T6" s="182"/>
    </row>
    <row r="7" spans="1:19" ht="12.75">
      <c r="A7" s="135"/>
      <c r="B7" s="30">
        <f>0.338+0.338</f>
        <v>0.676</v>
      </c>
      <c r="C7" s="50" t="s">
        <v>10</v>
      </c>
      <c r="D7" s="234">
        <f>31305*2</f>
        <v>62610</v>
      </c>
      <c r="E7" s="29">
        <v>2</v>
      </c>
      <c r="F7" s="50" t="s">
        <v>10</v>
      </c>
      <c r="G7" s="240">
        <f>96885*2</f>
        <v>193770</v>
      </c>
      <c r="H7" s="29">
        <v>2</v>
      </c>
      <c r="I7" s="50" t="s">
        <v>10</v>
      </c>
      <c r="J7" s="240">
        <f>101237*2</f>
        <v>202474</v>
      </c>
      <c r="K7" s="29">
        <v>2</v>
      </c>
      <c r="L7" s="50" t="s">
        <v>10</v>
      </c>
      <c r="M7" s="240">
        <f>125094*2</f>
        <v>250188</v>
      </c>
      <c r="N7" s="29">
        <v>2</v>
      </c>
      <c r="O7" s="50" t="s">
        <v>10</v>
      </c>
      <c r="P7" s="240">
        <f>130348*2</f>
        <v>260696</v>
      </c>
      <c r="Q7" s="29">
        <v>2</v>
      </c>
      <c r="R7" s="50" t="s">
        <v>10</v>
      </c>
      <c r="S7" s="94">
        <f>135823*2</f>
        <v>271646</v>
      </c>
    </row>
    <row r="8" spans="1:19" ht="12.75">
      <c r="A8" s="135"/>
      <c r="B8" s="30">
        <v>0.248</v>
      </c>
      <c r="C8" s="50" t="s">
        <v>11</v>
      </c>
      <c r="D8" s="234">
        <v>19126</v>
      </c>
      <c r="E8" s="29">
        <v>0.75</v>
      </c>
      <c r="F8" s="50" t="s">
        <v>11</v>
      </c>
      <c r="G8" s="240">
        <v>60629</v>
      </c>
      <c r="H8" s="29">
        <v>0.75</v>
      </c>
      <c r="I8" s="50" t="s">
        <v>11</v>
      </c>
      <c r="J8" s="240">
        <v>63352</v>
      </c>
      <c r="K8" s="29">
        <v>0.75</v>
      </c>
      <c r="L8" s="50" t="s">
        <v>11</v>
      </c>
      <c r="M8" s="240">
        <v>65828</v>
      </c>
      <c r="N8" s="29">
        <v>0.75</v>
      </c>
      <c r="O8" s="50" t="s">
        <v>11</v>
      </c>
      <c r="P8" s="240">
        <v>68593</v>
      </c>
      <c r="Q8" s="29">
        <v>0.75</v>
      </c>
      <c r="R8" s="50" t="s">
        <v>11</v>
      </c>
      <c r="S8" s="94">
        <v>71474</v>
      </c>
    </row>
    <row r="9" spans="1:19" ht="12.75">
      <c r="A9" s="135"/>
      <c r="B9" s="71" t="s">
        <v>30</v>
      </c>
      <c r="C9" s="50"/>
      <c r="D9" s="234"/>
      <c r="E9" s="43" t="s">
        <v>30</v>
      </c>
      <c r="F9" s="50"/>
      <c r="G9" s="240"/>
      <c r="H9" s="43" t="s">
        <v>30</v>
      </c>
      <c r="I9" s="50"/>
      <c r="J9" s="240"/>
      <c r="K9" s="43" t="s">
        <v>30</v>
      </c>
      <c r="L9" s="50"/>
      <c r="M9" s="240"/>
      <c r="N9" s="43" t="s">
        <v>30</v>
      </c>
      <c r="O9" s="50"/>
      <c r="P9" s="240"/>
      <c r="Q9" s="43" t="s">
        <v>30</v>
      </c>
      <c r="R9" s="50"/>
      <c r="S9" s="94"/>
    </row>
    <row r="10" spans="1:19" ht="12.75">
      <c r="A10" s="135"/>
      <c r="B10" s="30">
        <v>0.473</v>
      </c>
      <c r="C10" s="50" t="s">
        <v>11</v>
      </c>
      <c r="D10" s="234">
        <v>36552</v>
      </c>
      <c r="E10" s="29">
        <v>1</v>
      </c>
      <c r="F10" s="50" t="s">
        <v>11</v>
      </c>
      <c r="G10" s="240">
        <v>80838</v>
      </c>
      <c r="H10" s="29">
        <v>1</v>
      </c>
      <c r="I10" s="50" t="s">
        <v>11</v>
      </c>
      <c r="J10" s="240">
        <v>84469</v>
      </c>
      <c r="K10" s="29">
        <v>1</v>
      </c>
      <c r="L10" s="50" t="s">
        <v>11</v>
      </c>
      <c r="M10" s="240">
        <v>87771</v>
      </c>
      <c r="N10" s="29">
        <v>1</v>
      </c>
      <c r="O10" s="50" t="s">
        <v>11</v>
      </c>
      <c r="P10" s="240">
        <v>91457</v>
      </c>
      <c r="Q10" s="29">
        <v>1</v>
      </c>
      <c r="R10" s="50" t="s">
        <v>11</v>
      </c>
      <c r="S10" s="94">
        <v>95299</v>
      </c>
    </row>
    <row r="11" spans="1:19" ht="12.75">
      <c r="A11" s="135"/>
      <c r="B11" s="46">
        <f>0.18+0.203</f>
        <v>0.383</v>
      </c>
      <c r="C11" s="50" t="s">
        <v>12</v>
      </c>
      <c r="D11" s="234">
        <f>12285+13191</f>
        <v>25476</v>
      </c>
      <c r="E11" s="29">
        <v>2</v>
      </c>
      <c r="F11" s="50" t="s">
        <v>12</v>
      </c>
      <c r="G11" s="240">
        <f>72103+68814</f>
        <v>140917</v>
      </c>
      <c r="H11" s="29">
        <v>2</v>
      </c>
      <c r="I11" s="50" t="s">
        <v>12</v>
      </c>
      <c r="J11" s="240">
        <f>75342+71905</f>
        <v>147247</v>
      </c>
      <c r="K11" s="29">
        <v>2</v>
      </c>
      <c r="L11" s="50" t="s">
        <v>12</v>
      </c>
      <c r="M11" s="240">
        <f>78287+74716</f>
        <v>153003</v>
      </c>
      <c r="N11" s="29">
        <v>3</v>
      </c>
      <c r="O11" s="50" t="s">
        <v>12</v>
      </c>
      <c r="P11" s="240">
        <f>77854+77676+81575</f>
        <v>237105</v>
      </c>
      <c r="Q11" s="29">
        <v>3</v>
      </c>
      <c r="R11" s="50" t="s">
        <v>12</v>
      </c>
      <c r="S11" s="94">
        <f>85002+81124+80939</f>
        <v>247065</v>
      </c>
    </row>
    <row r="12" spans="1:19" ht="12.75">
      <c r="A12" s="135"/>
      <c r="B12" s="30">
        <f>0.293+0.293+0.45+0.315+0.18+0.18+0.225</f>
        <v>1.936</v>
      </c>
      <c r="C12" s="50" t="s">
        <v>13</v>
      </c>
      <c r="D12" s="234">
        <f>16350+15850+26328+9374+25873+9374</f>
        <v>103149</v>
      </c>
      <c r="E12" s="29">
        <v>8</v>
      </c>
      <c r="F12" s="50" t="s">
        <v>13</v>
      </c>
      <c r="G12" s="240">
        <f>58965+57162+112284+55033+110353+55033</f>
        <v>448830</v>
      </c>
      <c r="H12" s="29">
        <v>9</v>
      </c>
      <c r="I12" s="50" t="s">
        <v>13</v>
      </c>
      <c r="J12" s="240">
        <f>60284+58440+114805+56264+112820+56264+57533</f>
        <v>516410</v>
      </c>
      <c r="K12" s="29">
        <v>9</v>
      </c>
      <c r="L12" s="50" t="s">
        <v>13</v>
      </c>
      <c r="M12" s="240">
        <f>60284+58440+114805+56264+112820+56264+57533</f>
        <v>516410</v>
      </c>
      <c r="N12" s="29">
        <v>8</v>
      </c>
      <c r="O12" s="50" t="s">
        <v>13</v>
      </c>
      <c r="P12" s="240">
        <f>60284+58440+57402+56264+112820+56264+57533</f>
        <v>459007</v>
      </c>
      <c r="Q12" s="29">
        <v>9</v>
      </c>
      <c r="R12" s="50" t="s">
        <v>13</v>
      </c>
      <c r="S12" s="94">
        <f>120568+58440+57402+56264+112820+56264+57533</f>
        <v>519291</v>
      </c>
    </row>
    <row r="13" spans="1:19" ht="12.75">
      <c r="A13" s="135"/>
      <c r="B13" s="30">
        <v>0.113</v>
      </c>
      <c r="C13" s="50" t="s">
        <v>14</v>
      </c>
      <c r="D13" s="234">
        <v>5286</v>
      </c>
      <c r="E13" s="29">
        <v>1</v>
      </c>
      <c r="F13" s="50" t="s">
        <v>14</v>
      </c>
      <c r="G13" s="240">
        <v>48152</v>
      </c>
      <c r="H13" s="29">
        <v>1</v>
      </c>
      <c r="I13" s="50" t="s">
        <v>14</v>
      </c>
      <c r="J13" s="240">
        <v>50251</v>
      </c>
      <c r="K13" s="29">
        <v>1</v>
      </c>
      <c r="L13" s="50" t="s">
        <v>14</v>
      </c>
      <c r="M13" s="240">
        <v>50251</v>
      </c>
      <c r="N13" s="29">
        <v>1</v>
      </c>
      <c r="O13" s="50" t="s">
        <v>14</v>
      </c>
      <c r="P13" s="240">
        <v>50251</v>
      </c>
      <c r="Q13" s="29">
        <v>1</v>
      </c>
      <c r="R13" s="50" t="s">
        <v>14</v>
      </c>
      <c r="S13" s="94">
        <v>50251</v>
      </c>
    </row>
    <row r="14" spans="1:19" ht="12.75">
      <c r="A14" s="135"/>
      <c r="B14" s="71" t="s">
        <v>18</v>
      </c>
      <c r="C14" s="50"/>
      <c r="D14" s="234"/>
      <c r="E14" s="43" t="s">
        <v>18</v>
      </c>
      <c r="F14" s="50"/>
      <c r="G14" s="240"/>
      <c r="H14" s="43" t="s">
        <v>18</v>
      </c>
      <c r="I14" s="50"/>
      <c r="J14" s="240"/>
      <c r="K14" s="43" t="s">
        <v>18</v>
      </c>
      <c r="L14" s="50"/>
      <c r="M14" s="240"/>
      <c r="N14" s="43" t="s">
        <v>18</v>
      </c>
      <c r="O14" s="50"/>
      <c r="P14" s="240"/>
      <c r="Q14" s="43" t="s">
        <v>18</v>
      </c>
      <c r="R14" s="50"/>
      <c r="S14" s="94"/>
    </row>
    <row r="15" spans="1:19" ht="12.75">
      <c r="A15" s="135"/>
      <c r="B15" s="30">
        <v>0.473</v>
      </c>
      <c r="C15" s="50" t="s">
        <v>15</v>
      </c>
      <c r="D15" s="234">
        <v>52096</v>
      </c>
      <c r="E15" s="29">
        <v>1</v>
      </c>
      <c r="F15" s="50" t="s">
        <v>15</v>
      </c>
      <c r="G15" s="240">
        <v>115213</v>
      </c>
      <c r="H15" s="29">
        <v>1</v>
      </c>
      <c r="I15" s="50" t="s">
        <v>15</v>
      </c>
      <c r="J15" s="240">
        <v>120388</v>
      </c>
      <c r="K15" s="29">
        <v>1</v>
      </c>
      <c r="L15" s="50" t="s">
        <v>15</v>
      </c>
      <c r="M15" s="240">
        <v>125094</v>
      </c>
      <c r="N15" s="29">
        <v>1</v>
      </c>
      <c r="O15" s="50" t="s">
        <v>15</v>
      </c>
      <c r="P15" s="240">
        <v>130348</v>
      </c>
      <c r="Q15" s="29">
        <v>1</v>
      </c>
      <c r="R15" s="50" t="s">
        <v>15</v>
      </c>
      <c r="S15" s="94">
        <v>135823</v>
      </c>
    </row>
    <row r="16" spans="1:19" ht="12.75">
      <c r="A16" s="135"/>
      <c r="B16" s="30">
        <v>0.405</v>
      </c>
      <c r="C16" s="50" t="s">
        <v>16</v>
      </c>
      <c r="D16" s="234">
        <v>37510</v>
      </c>
      <c r="E16" s="29">
        <v>2</v>
      </c>
      <c r="F16" s="50" t="s">
        <v>16</v>
      </c>
      <c r="G16" s="240">
        <v>193770</v>
      </c>
      <c r="H16" s="29">
        <v>2</v>
      </c>
      <c r="I16" s="43" t="s">
        <v>16</v>
      </c>
      <c r="J16" s="240">
        <v>202473</v>
      </c>
      <c r="K16" s="29">
        <v>3</v>
      </c>
      <c r="L16" s="50" t="s">
        <v>16</v>
      </c>
      <c r="M16" s="240">
        <v>315582</v>
      </c>
      <c r="N16" s="29">
        <v>3</v>
      </c>
      <c r="O16" s="50" t="s">
        <v>16</v>
      </c>
      <c r="P16" s="240">
        <v>328837</v>
      </c>
      <c r="Q16" s="29">
        <v>3</v>
      </c>
      <c r="R16" s="50" t="s">
        <v>16</v>
      </c>
      <c r="S16" s="94">
        <v>342648</v>
      </c>
    </row>
    <row r="17" spans="1:19" ht="12.75">
      <c r="A17" s="135"/>
      <c r="B17" s="30">
        <v>0.45</v>
      </c>
      <c r="C17" s="50" t="s">
        <v>11</v>
      </c>
      <c r="D17" s="234">
        <v>34775</v>
      </c>
      <c r="E17" s="29">
        <v>2</v>
      </c>
      <c r="F17" s="50" t="s">
        <v>11</v>
      </c>
      <c r="G17" s="240">
        <v>161676</v>
      </c>
      <c r="H17" s="29">
        <v>2</v>
      </c>
      <c r="I17" s="50" t="s">
        <v>11</v>
      </c>
      <c r="J17" s="240">
        <v>168938</v>
      </c>
      <c r="K17" s="29">
        <v>2</v>
      </c>
      <c r="L17" s="50" t="s">
        <v>11</v>
      </c>
      <c r="M17" s="240">
        <v>175542</v>
      </c>
      <c r="N17" s="29">
        <v>2</v>
      </c>
      <c r="O17" s="50" t="s">
        <v>11</v>
      </c>
      <c r="P17" s="240">
        <v>182915</v>
      </c>
      <c r="Q17" s="29">
        <v>2</v>
      </c>
      <c r="R17" s="50" t="s">
        <v>11</v>
      </c>
      <c r="S17" s="94">
        <v>190597</v>
      </c>
    </row>
    <row r="18" spans="1:19" ht="12.75">
      <c r="A18" s="135"/>
      <c r="B18" s="30">
        <v>0.315</v>
      </c>
      <c r="C18" s="50" t="s">
        <v>12</v>
      </c>
      <c r="D18" s="234">
        <v>20118</v>
      </c>
      <c r="E18" s="29">
        <v>2</v>
      </c>
      <c r="F18" s="50" t="s">
        <v>12</v>
      </c>
      <c r="G18" s="240">
        <v>133618</v>
      </c>
      <c r="H18" s="29">
        <v>2</v>
      </c>
      <c r="I18" s="50" t="s">
        <v>12</v>
      </c>
      <c r="J18" s="240">
        <v>139620</v>
      </c>
      <c r="K18" s="29">
        <v>2</v>
      </c>
      <c r="L18" s="50" t="s">
        <v>12</v>
      </c>
      <c r="M18" s="240">
        <v>145078</v>
      </c>
      <c r="N18" s="29">
        <v>2</v>
      </c>
      <c r="O18" s="50" t="s">
        <v>12</v>
      </c>
      <c r="P18" s="240">
        <v>151171</v>
      </c>
      <c r="Q18" s="29">
        <v>2</v>
      </c>
      <c r="R18" s="50" t="s">
        <v>12</v>
      </c>
      <c r="S18" s="94">
        <v>157520</v>
      </c>
    </row>
    <row r="19" spans="1:19" ht="12.75">
      <c r="A19" s="135"/>
      <c r="B19" s="30">
        <v>0.248</v>
      </c>
      <c r="C19" s="50" t="s">
        <v>13</v>
      </c>
      <c r="D19" s="234">
        <v>12949</v>
      </c>
      <c r="E19" s="29">
        <v>2</v>
      </c>
      <c r="F19" s="50" t="s">
        <v>13</v>
      </c>
      <c r="G19" s="240">
        <v>109242</v>
      </c>
      <c r="H19" s="29">
        <v>2</v>
      </c>
      <c r="I19" s="50" t="s">
        <v>13</v>
      </c>
      <c r="J19" s="240">
        <v>111684</v>
      </c>
      <c r="K19" s="29">
        <v>2</v>
      </c>
      <c r="L19" s="50" t="s">
        <v>13</v>
      </c>
      <c r="M19" s="240">
        <v>111684</v>
      </c>
      <c r="N19" s="29">
        <v>2</v>
      </c>
      <c r="O19" s="50" t="s">
        <v>13</v>
      </c>
      <c r="P19" s="240">
        <v>111684</v>
      </c>
      <c r="Q19" s="29">
        <v>2</v>
      </c>
      <c r="R19" s="50" t="s">
        <v>13</v>
      </c>
      <c r="S19" s="94">
        <v>111684</v>
      </c>
    </row>
    <row r="20" spans="1:20" s="130" customFormat="1" ht="13.5" thickBot="1">
      <c r="A20" s="140"/>
      <c r="B20" s="100">
        <v>0.113</v>
      </c>
      <c r="C20" s="5" t="s">
        <v>14</v>
      </c>
      <c r="D20" s="221">
        <v>5310</v>
      </c>
      <c r="E20" s="231">
        <v>1</v>
      </c>
      <c r="F20" s="5" t="s">
        <v>14</v>
      </c>
      <c r="G20" s="241">
        <v>49152</v>
      </c>
      <c r="H20" s="231">
        <v>1</v>
      </c>
      <c r="I20" s="5" t="s">
        <v>14</v>
      </c>
      <c r="J20" s="241">
        <v>50251</v>
      </c>
      <c r="K20" s="231">
        <v>1</v>
      </c>
      <c r="L20" s="5" t="s">
        <v>14</v>
      </c>
      <c r="M20" s="241">
        <v>50251</v>
      </c>
      <c r="N20" s="231">
        <v>1</v>
      </c>
      <c r="O20" s="5" t="s">
        <v>14</v>
      </c>
      <c r="P20" s="241">
        <v>50251</v>
      </c>
      <c r="Q20" s="231">
        <v>1</v>
      </c>
      <c r="R20" s="5" t="s">
        <v>14</v>
      </c>
      <c r="S20" s="97">
        <v>50251</v>
      </c>
      <c r="T20" s="184"/>
    </row>
    <row r="21" spans="1:20" ht="12.75">
      <c r="A21" s="136" t="s">
        <v>19</v>
      </c>
      <c r="B21" s="39">
        <f>SUM(B5:B20)</f>
        <v>6.9140000000000015</v>
      </c>
      <c r="C21" s="40"/>
      <c r="D21" s="235">
        <f>SUM(D5:D20)</f>
        <v>545286</v>
      </c>
      <c r="E21" s="31">
        <f>SUM(E5:E20)</f>
        <v>26.75</v>
      </c>
      <c r="F21" s="40"/>
      <c r="G21" s="235">
        <f>SUM(G5:G20)</f>
        <v>1987044</v>
      </c>
      <c r="H21" s="31">
        <f>SUM(H5:H20)</f>
        <v>27.75</v>
      </c>
      <c r="I21" s="40"/>
      <c r="J21" s="235">
        <f>SUM(J5:J20)</f>
        <v>2120079</v>
      </c>
      <c r="K21" s="31">
        <f>SUM(K5:K20)</f>
        <v>28.75</v>
      </c>
      <c r="L21" s="40"/>
      <c r="M21" s="235">
        <f>SUM(M5:M20)</f>
        <v>2342062</v>
      </c>
      <c r="N21" s="31">
        <f>SUM(N5:N20)</f>
        <v>28.75</v>
      </c>
      <c r="O21" s="40"/>
      <c r="P21" s="235">
        <f>SUM(P5:P20)</f>
        <v>2430101</v>
      </c>
      <c r="Q21" s="31">
        <f>SUM(Q5:Q20)</f>
        <v>29.75</v>
      </c>
      <c r="R21" s="40"/>
      <c r="S21" s="155">
        <f>SUM(S5:S20)</f>
        <v>2564263</v>
      </c>
      <c r="T21" s="185">
        <f>SUM(D21+G21+J21+M21+P21+S21)</f>
        <v>11988835</v>
      </c>
    </row>
    <row r="22" spans="1:19" ht="12.75">
      <c r="A22" s="135"/>
      <c r="B22" s="47"/>
      <c r="C22" s="48"/>
      <c r="E22" s="48"/>
      <c r="F22" s="48"/>
      <c r="H22" s="48"/>
      <c r="I22" s="48"/>
      <c r="K22" s="48"/>
      <c r="L22" s="48"/>
      <c r="N22" s="48"/>
      <c r="O22" s="48"/>
      <c r="Q22" s="48"/>
      <c r="R22" s="48"/>
      <c r="S22" s="133"/>
    </row>
    <row r="23" spans="1:20" s="75" customFormat="1" ht="51.75" thickBot="1">
      <c r="A23" s="137" t="s">
        <v>24</v>
      </c>
      <c r="B23" s="59">
        <v>1</v>
      </c>
      <c r="D23" s="237">
        <v>152829.6</v>
      </c>
      <c r="E23" s="232">
        <v>7</v>
      </c>
      <c r="G23" s="237">
        <v>367783.44</v>
      </c>
      <c r="H23" s="232">
        <v>7.5</v>
      </c>
      <c r="J23" s="237">
        <v>394776.72</v>
      </c>
      <c r="K23" s="232">
        <v>8.1</v>
      </c>
      <c r="M23" s="237">
        <v>428518.32</v>
      </c>
      <c r="N23" s="232">
        <v>8.8</v>
      </c>
      <c r="P23" s="237">
        <v>462259.92</v>
      </c>
      <c r="Q23" s="232">
        <v>9.4</v>
      </c>
      <c r="S23" s="156">
        <v>492627.36</v>
      </c>
      <c r="T23" s="186">
        <f>SUM(D23+G23+J23+M23+P23+S23)</f>
        <v>2298795.36</v>
      </c>
    </row>
    <row r="24" spans="1:20" s="79" customFormat="1" ht="12.75">
      <c r="A24" s="229"/>
      <c r="B24" s="77"/>
      <c r="C24" s="77"/>
      <c r="D24" s="238"/>
      <c r="E24" s="77"/>
      <c r="F24" s="77"/>
      <c r="G24" s="238"/>
      <c r="H24" s="77"/>
      <c r="I24" s="77"/>
      <c r="J24" s="238"/>
      <c r="K24" s="77"/>
      <c r="L24" s="77"/>
      <c r="M24" s="238"/>
      <c r="N24" s="77"/>
      <c r="O24" s="77"/>
      <c r="P24" s="238"/>
      <c r="Q24" s="77"/>
      <c r="R24" s="77"/>
      <c r="S24" s="162"/>
      <c r="T24" s="187"/>
    </row>
    <row r="25" spans="1:20" s="122" customFormat="1" ht="13.5" thickBot="1">
      <c r="A25" s="230" t="s">
        <v>25</v>
      </c>
      <c r="B25" s="163">
        <f>SUM(B21:B24)</f>
        <v>7.9140000000000015</v>
      </c>
      <c r="C25" s="125"/>
      <c r="D25" s="171">
        <f>D23+D21</f>
        <v>698115.6</v>
      </c>
      <c r="E25" s="163">
        <f>SUM(E21:E24)</f>
        <v>33.75</v>
      </c>
      <c r="F25" s="125"/>
      <c r="G25" s="171">
        <f>G23+G21</f>
        <v>2354827.44</v>
      </c>
      <c r="H25" s="163">
        <f>SUM(H21:H24)</f>
        <v>35.25</v>
      </c>
      <c r="I25" s="125"/>
      <c r="J25" s="171">
        <f>J23+J21</f>
        <v>2514855.7199999997</v>
      </c>
      <c r="K25" s="163">
        <f>SUM(K21:K24)</f>
        <v>36.85</v>
      </c>
      <c r="L25" s="125"/>
      <c r="M25" s="171">
        <f>M23+M21</f>
        <v>2770580.32</v>
      </c>
      <c r="N25" s="163">
        <f>SUM(N21:N24)</f>
        <v>37.55</v>
      </c>
      <c r="O25" s="125"/>
      <c r="P25" s="171">
        <f>P23+P21</f>
        <v>2892360.92</v>
      </c>
      <c r="Q25" s="163">
        <f>SUM(Q20:Q23)</f>
        <v>40.15</v>
      </c>
      <c r="R25" s="125"/>
      <c r="S25" s="165">
        <f>S23+S21</f>
        <v>3056890.36</v>
      </c>
      <c r="T25" s="188">
        <f>SUM(T21:T23)</f>
        <v>14287630.36</v>
      </c>
    </row>
    <row r="26" ht="12.75">
      <c r="T26" s="38"/>
    </row>
    <row r="27" spans="1:20" s="118" customFormat="1" ht="12.75">
      <c r="A27" s="118" t="s">
        <v>22</v>
      </c>
      <c r="D27" s="239"/>
      <c r="G27" s="239"/>
      <c r="J27" s="239"/>
      <c r="M27" s="239"/>
      <c r="P27" s="239"/>
      <c r="T27" s="38"/>
    </row>
    <row r="28" ht="12.75">
      <c r="T28" s="38"/>
    </row>
    <row r="29" ht="12.75">
      <c r="T29" s="38"/>
    </row>
    <row r="30" ht="12.75">
      <c r="T30" s="38"/>
    </row>
    <row r="31" ht="12.75">
      <c r="T31" s="38"/>
    </row>
    <row r="32" ht="12.75">
      <c r="T32" s="38"/>
    </row>
    <row r="33" ht="12.75">
      <c r="T33" s="38"/>
    </row>
    <row r="34" ht="12.75">
      <c r="T34" s="38"/>
    </row>
    <row r="35" ht="12.75">
      <c r="T35" s="38"/>
    </row>
    <row r="36" ht="12.75">
      <c r="T36" s="38"/>
    </row>
    <row r="37" ht="12.75">
      <c r="T37" s="38"/>
    </row>
    <row r="38" ht="12.75">
      <c r="T38" s="38"/>
    </row>
    <row r="39" ht="12.75">
      <c r="T39" s="38"/>
    </row>
    <row r="40" ht="12.75">
      <c r="T40" s="38"/>
    </row>
    <row r="41" ht="12.75">
      <c r="T41" s="38"/>
    </row>
    <row r="42" ht="12.75">
      <c r="T42" s="38"/>
    </row>
    <row r="43" ht="12.75">
      <c r="T43" s="38"/>
    </row>
    <row r="44" ht="12.75">
      <c r="T44" s="38"/>
    </row>
    <row r="45" ht="12.75">
      <c r="T45" s="38"/>
    </row>
    <row r="46" ht="12.75">
      <c r="T46" s="38"/>
    </row>
    <row r="47" ht="12.75">
      <c r="T47" s="38"/>
    </row>
    <row r="48" ht="12.75">
      <c r="T48" s="38"/>
    </row>
    <row r="49" ht="12.75">
      <c r="T49" s="38"/>
    </row>
    <row r="50" ht="12.75">
      <c r="T50" s="38"/>
    </row>
    <row r="51" ht="12.75">
      <c r="T51" s="38"/>
    </row>
    <row r="52" ht="12.75">
      <c r="T52" s="38"/>
    </row>
    <row r="53" ht="12.75">
      <c r="T53" s="38"/>
    </row>
    <row r="54" ht="12.75">
      <c r="T54" s="38"/>
    </row>
  </sheetData>
  <mergeCells count="8">
    <mergeCell ref="A1:S1"/>
    <mergeCell ref="A2:S2"/>
    <mergeCell ref="N3:P3"/>
    <mergeCell ref="Q3:S3"/>
    <mergeCell ref="B3:D3"/>
    <mergeCell ref="E3:G3"/>
    <mergeCell ref="H3:J3"/>
    <mergeCell ref="K3:M3"/>
  </mergeCells>
  <printOptions horizontalCentered="1" verticalCentered="1"/>
  <pageMargins left="0.75" right="0.75" top="1" bottom="1" header="0.5" footer="0.5"/>
  <pageSetup fitToHeight="1" fitToWidth="1" horizontalDpi="600" verticalDpi="600" orientation="landscape" paperSize="5" scale="89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140625" defaultRowHeight="12.75"/>
  <cols>
    <col min="1" max="1" width="14.421875" style="0" customWidth="1"/>
    <col min="3" max="3" width="7.57421875" style="0" customWidth="1"/>
    <col min="4" max="4" width="11.28125" style="191" customWidth="1"/>
    <col min="6" max="6" width="7.57421875" style="0" customWidth="1"/>
    <col min="7" max="7" width="12.8515625" style="191" bestFit="1" customWidth="1"/>
    <col min="9" max="9" width="7.57421875" style="0" customWidth="1"/>
    <col min="10" max="10" width="12.8515625" style="191" bestFit="1" customWidth="1"/>
    <col min="12" max="12" width="7.57421875" style="0" customWidth="1"/>
    <col min="13" max="13" width="12.8515625" style="191" bestFit="1" customWidth="1"/>
    <col min="15" max="15" width="7.57421875" style="0" customWidth="1"/>
    <col min="16" max="16" width="12.8515625" style="191" bestFit="1" customWidth="1"/>
    <col min="18" max="18" width="7.57421875" style="0" customWidth="1"/>
    <col min="19" max="19" width="12.7109375" style="191" customWidth="1"/>
    <col min="20" max="20" width="12.57421875" style="183" bestFit="1" customWidth="1"/>
  </cols>
  <sheetData>
    <row r="1" spans="1:28" s="6" customFormat="1" ht="29.25" customHeight="1" thickBot="1">
      <c r="A1" s="247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5"/>
      <c r="T1" s="179"/>
      <c r="U1" s="3"/>
      <c r="V1" s="3"/>
      <c r="W1" s="3"/>
      <c r="X1" s="4"/>
      <c r="Y1" s="5"/>
      <c r="Z1" s="5"/>
      <c r="AA1" s="5"/>
      <c r="AB1" s="5"/>
    </row>
    <row r="2" spans="1:20" ht="24" customHeight="1" thickBot="1">
      <c r="A2" s="250" t="s">
        <v>35</v>
      </c>
      <c r="B2" s="251"/>
      <c r="C2" s="251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80"/>
      <c r="T2" s="180"/>
    </row>
    <row r="3" spans="1:20" s="32" customFormat="1" ht="56.25" customHeight="1">
      <c r="A3" s="53"/>
      <c r="B3" s="279" t="s">
        <v>20</v>
      </c>
      <c r="C3" s="258"/>
      <c r="D3" s="258"/>
      <c r="E3" s="257" t="s">
        <v>2</v>
      </c>
      <c r="F3" s="258"/>
      <c r="G3" s="258"/>
      <c r="H3" s="257" t="s">
        <v>6</v>
      </c>
      <c r="I3" s="258"/>
      <c r="J3" s="258"/>
      <c r="K3" s="257" t="s">
        <v>3</v>
      </c>
      <c r="L3" s="258"/>
      <c r="M3" s="258"/>
      <c r="N3" s="257" t="s">
        <v>4</v>
      </c>
      <c r="O3" s="258"/>
      <c r="P3" s="258"/>
      <c r="Q3" s="257" t="s">
        <v>5</v>
      </c>
      <c r="R3" s="258"/>
      <c r="S3" s="278"/>
      <c r="T3" s="181" t="s">
        <v>28</v>
      </c>
    </row>
    <row r="4" spans="1:20" s="21" customFormat="1" ht="12.75">
      <c r="A4" s="134" t="s">
        <v>7</v>
      </c>
      <c r="B4" s="126" t="s">
        <v>17</v>
      </c>
      <c r="C4" s="127"/>
      <c r="D4" s="189" t="s">
        <v>26</v>
      </c>
      <c r="E4" s="126" t="s">
        <v>17</v>
      </c>
      <c r="F4" s="127"/>
      <c r="G4" s="189" t="s">
        <v>26</v>
      </c>
      <c r="H4" s="126" t="s">
        <v>21</v>
      </c>
      <c r="I4" s="127"/>
      <c r="J4" s="189" t="s">
        <v>26</v>
      </c>
      <c r="K4" s="126" t="s">
        <v>21</v>
      </c>
      <c r="L4" s="127"/>
      <c r="M4" s="189" t="s">
        <v>26</v>
      </c>
      <c r="N4" s="126" t="s">
        <v>21</v>
      </c>
      <c r="O4" s="127"/>
      <c r="P4" s="189" t="s">
        <v>26</v>
      </c>
      <c r="Q4" s="126" t="s">
        <v>17</v>
      </c>
      <c r="R4" s="127"/>
      <c r="S4" s="193" t="s">
        <v>26</v>
      </c>
      <c r="T4" s="182"/>
    </row>
    <row r="5" spans="1:20" ht="12.75">
      <c r="A5" s="135"/>
      <c r="B5" s="30">
        <v>0.563</v>
      </c>
      <c r="C5" s="50" t="s">
        <v>8</v>
      </c>
      <c r="D5" s="38">
        <v>73087</v>
      </c>
      <c r="E5" s="30">
        <v>1</v>
      </c>
      <c r="F5" s="50" t="s">
        <v>8</v>
      </c>
      <c r="G5" s="38">
        <v>135672</v>
      </c>
      <c r="H5" s="30">
        <v>1</v>
      </c>
      <c r="I5" s="50" t="s">
        <v>8</v>
      </c>
      <c r="J5" s="38">
        <v>141766</v>
      </c>
      <c r="K5" s="30">
        <v>1</v>
      </c>
      <c r="L5" s="50" t="s">
        <v>8</v>
      </c>
      <c r="M5" s="38">
        <v>147308</v>
      </c>
      <c r="N5" s="30">
        <v>1</v>
      </c>
      <c r="O5" s="50" t="s">
        <v>8</v>
      </c>
      <c r="P5" s="38">
        <v>153495</v>
      </c>
      <c r="Q5" s="30">
        <v>1</v>
      </c>
      <c r="R5" s="50" t="s">
        <v>8</v>
      </c>
      <c r="S5" s="173">
        <v>159942</v>
      </c>
      <c r="T5" s="182"/>
    </row>
    <row r="6" spans="1:20" ht="12.75">
      <c r="A6" s="135"/>
      <c r="B6" s="30">
        <v>0.518</v>
      </c>
      <c r="C6" s="50" t="s">
        <v>9</v>
      </c>
      <c r="D6" s="38">
        <v>56904</v>
      </c>
      <c r="E6" s="30">
        <v>1</v>
      </c>
      <c r="F6" s="50" t="s">
        <v>9</v>
      </c>
      <c r="G6" s="38">
        <v>114914</v>
      </c>
      <c r="H6" s="30">
        <v>1</v>
      </c>
      <c r="I6" s="50" t="s">
        <v>9</v>
      </c>
      <c r="J6" s="38">
        <v>120076</v>
      </c>
      <c r="K6" s="30">
        <v>1</v>
      </c>
      <c r="L6" s="50" t="s">
        <v>9</v>
      </c>
      <c r="M6" s="38">
        <v>147308</v>
      </c>
      <c r="N6" s="30">
        <v>1</v>
      </c>
      <c r="O6" s="50" t="s">
        <v>9</v>
      </c>
      <c r="P6" s="38">
        <v>153495</v>
      </c>
      <c r="Q6" s="30">
        <v>1</v>
      </c>
      <c r="R6" s="50" t="s">
        <v>9</v>
      </c>
      <c r="S6" s="173">
        <v>159942</v>
      </c>
      <c r="T6" s="182"/>
    </row>
    <row r="7" spans="1:19" ht="12.75">
      <c r="A7" s="135"/>
      <c r="B7" s="30">
        <f>0.338+0.338</f>
        <v>0.676</v>
      </c>
      <c r="C7" s="50" t="s">
        <v>10</v>
      </c>
      <c r="D7" s="38">
        <f>31224*2</f>
        <v>62448</v>
      </c>
      <c r="E7" s="30">
        <v>2</v>
      </c>
      <c r="F7" s="50" t="s">
        <v>10</v>
      </c>
      <c r="G7" s="38">
        <f>96634*2</f>
        <v>193268</v>
      </c>
      <c r="H7" s="30">
        <v>2</v>
      </c>
      <c r="I7" s="50" t="s">
        <v>10</v>
      </c>
      <c r="J7" s="38">
        <f>100974+100974</f>
        <v>201948</v>
      </c>
      <c r="K7" s="30">
        <v>2</v>
      </c>
      <c r="L7" s="50" t="s">
        <v>10</v>
      </c>
      <c r="M7" s="38">
        <f>124770+124770</f>
        <v>249540</v>
      </c>
      <c r="N7" s="30">
        <v>2</v>
      </c>
      <c r="O7" s="50" t="s">
        <v>10</v>
      </c>
      <c r="P7" s="38">
        <f>130011*2</f>
        <v>260022</v>
      </c>
      <c r="Q7" s="30">
        <v>2</v>
      </c>
      <c r="R7" s="50" t="s">
        <v>10</v>
      </c>
      <c r="S7" s="173">
        <f>135471+135471</f>
        <v>270942</v>
      </c>
    </row>
    <row r="8" spans="1:19" ht="12.75">
      <c r="A8" s="135"/>
      <c r="B8" s="30">
        <v>0.203</v>
      </c>
      <c r="C8" s="50" t="s">
        <v>11</v>
      </c>
      <c r="D8" s="38">
        <v>15608</v>
      </c>
      <c r="E8" s="30">
        <v>0.5</v>
      </c>
      <c r="F8" s="50" t="s">
        <v>11</v>
      </c>
      <c r="G8" s="38">
        <v>40314</v>
      </c>
      <c r="H8" s="30">
        <v>0.5</v>
      </c>
      <c r="I8" s="50" t="s">
        <v>11</v>
      </c>
      <c r="J8" s="38">
        <v>42125</v>
      </c>
      <c r="K8" s="30">
        <v>0.5</v>
      </c>
      <c r="L8" s="50" t="s">
        <v>11</v>
      </c>
      <c r="M8" s="38">
        <v>43772</v>
      </c>
      <c r="N8" s="30">
        <v>0.75</v>
      </c>
      <c r="O8" s="50" t="s">
        <v>11</v>
      </c>
      <c r="P8" s="38">
        <v>68415</v>
      </c>
      <c r="Q8" s="30">
        <v>0.75</v>
      </c>
      <c r="R8" s="50" t="s">
        <v>11</v>
      </c>
      <c r="S8" s="173">
        <v>71289</v>
      </c>
    </row>
    <row r="9" spans="1:19" ht="12.75">
      <c r="A9" s="135"/>
      <c r="B9" s="71" t="s">
        <v>30</v>
      </c>
      <c r="C9" s="50"/>
      <c r="D9" s="38"/>
      <c r="E9" s="71" t="s">
        <v>30</v>
      </c>
      <c r="F9" s="50"/>
      <c r="G9" s="38"/>
      <c r="H9" s="71" t="s">
        <v>30</v>
      </c>
      <c r="I9" s="50"/>
      <c r="J9" s="38"/>
      <c r="K9" s="71" t="s">
        <v>30</v>
      </c>
      <c r="L9" s="50"/>
      <c r="M9" s="38"/>
      <c r="N9" s="71" t="s">
        <v>30</v>
      </c>
      <c r="O9" s="50"/>
      <c r="P9" s="38"/>
      <c r="Q9" s="71" t="s">
        <v>30</v>
      </c>
      <c r="R9" s="50"/>
      <c r="S9" s="173"/>
    </row>
    <row r="10" spans="1:19" ht="12.75">
      <c r="A10" s="135"/>
      <c r="B10" s="30">
        <v>0.473</v>
      </c>
      <c r="C10" s="50" t="s">
        <v>11</v>
      </c>
      <c r="D10" s="38">
        <v>36458</v>
      </c>
      <c r="E10" s="30">
        <v>1</v>
      </c>
      <c r="F10" s="50" t="s">
        <v>11</v>
      </c>
      <c r="G10" s="38">
        <v>80626</v>
      </c>
      <c r="H10" s="30">
        <v>1</v>
      </c>
      <c r="I10" s="50" t="s">
        <v>11</v>
      </c>
      <c r="J10" s="38">
        <v>84250</v>
      </c>
      <c r="K10" s="30">
        <v>1</v>
      </c>
      <c r="L10" s="50" t="s">
        <v>11</v>
      </c>
      <c r="M10" s="38">
        <v>87543</v>
      </c>
      <c r="N10" s="30">
        <v>1</v>
      </c>
      <c r="O10" s="50" t="s">
        <v>11</v>
      </c>
      <c r="P10" s="38">
        <v>91220</v>
      </c>
      <c r="Q10" s="30">
        <v>1</v>
      </c>
      <c r="R10" s="50" t="s">
        <v>11</v>
      </c>
      <c r="S10" s="173">
        <v>95051</v>
      </c>
    </row>
    <row r="11" spans="1:19" ht="12.75">
      <c r="A11" s="135"/>
      <c r="B11" s="46">
        <v>0.451</v>
      </c>
      <c r="C11" s="50" t="s">
        <v>12</v>
      </c>
      <c r="D11" s="38">
        <f>16888+13393</f>
        <v>30281</v>
      </c>
      <c r="E11" s="30">
        <v>2</v>
      </c>
      <c r="F11" s="50" t="s">
        <v>12</v>
      </c>
      <c r="G11" s="38">
        <f>72084+69869</f>
        <v>141953</v>
      </c>
      <c r="H11" s="30">
        <v>2</v>
      </c>
      <c r="I11" s="50" t="s">
        <v>12</v>
      </c>
      <c r="J11" s="38">
        <f>75322+73007</f>
        <v>148329</v>
      </c>
      <c r="K11" s="30">
        <v>3</v>
      </c>
      <c r="L11" s="50" t="s">
        <v>12</v>
      </c>
      <c r="M11" s="38">
        <f>78267+75861+77214</f>
        <v>231342</v>
      </c>
      <c r="N11" s="30">
        <v>3</v>
      </c>
      <c r="O11" s="50" t="s">
        <v>12</v>
      </c>
      <c r="P11" s="38">
        <f>81554+79047+80457</f>
        <v>241058</v>
      </c>
      <c r="Q11" s="30">
        <v>3</v>
      </c>
      <c r="R11" s="50" t="s">
        <v>12</v>
      </c>
      <c r="S11" s="173">
        <f>84979+82367+83836</f>
        <v>251182</v>
      </c>
    </row>
    <row r="12" spans="1:19" ht="12.75">
      <c r="A12" s="135"/>
      <c r="B12" s="30">
        <f>0.293+0.473+0.203+0.473+0.18+0.18</f>
        <v>1.802</v>
      </c>
      <c r="C12" s="50" t="s">
        <v>13</v>
      </c>
      <c r="D12" s="38">
        <f>16126+26387+10546+25053+9733+9374</f>
        <v>97219</v>
      </c>
      <c r="E12" s="30">
        <v>8</v>
      </c>
      <c r="F12" s="50" t="s">
        <v>13</v>
      </c>
      <c r="G12" s="38">
        <f>58157+117898+55033+111938+57136+55033</f>
        <v>455195</v>
      </c>
      <c r="H12" s="30">
        <v>8.5</v>
      </c>
      <c r="I12" s="50" t="s">
        <v>13</v>
      </c>
      <c r="J12" s="38">
        <f>59458+120534+56264+114442+87620+56264</f>
        <v>494582</v>
      </c>
      <c r="K12" s="30">
        <v>8.5</v>
      </c>
      <c r="L12" s="50" t="s">
        <v>13</v>
      </c>
      <c r="M12" s="38">
        <f>59458+120534+56264+57221+87620+56264+57221</f>
        <v>494582</v>
      </c>
      <c r="N12" s="30">
        <v>9</v>
      </c>
      <c r="O12" s="50" t="s">
        <v>13</v>
      </c>
      <c r="P12" s="38">
        <f>59458+120534+56264+57221+116827+56264+57221</f>
        <v>523789</v>
      </c>
      <c r="Q12" s="30">
        <v>10</v>
      </c>
      <c r="R12" s="50" t="s">
        <v>13</v>
      </c>
      <c r="S12" s="173">
        <f>59458+60267+112528+57221+116827+56264+57221+60267</f>
        <v>580053</v>
      </c>
    </row>
    <row r="13" spans="1:19" ht="12.75">
      <c r="A13" s="135"/>
      <c r="B13" s="30">
        <v>0.113</v>
      </c>
      <c r="C13" s="50" t="s">
        <v>14</v>
      </c>
      <c r="D13" s="38">
        <v>5273</v>
      </c>
      <c r="E13" s="30">
        <v>1</v>
      </c>
      <c r="F13" s="50" t="s">
        <v>14</v>
      </c>
      <c r="G13" s="38">
        <v>49026</v>
      </c>
      <c r="H13" s="30">
        <v>1</v>
      </c>
      <c r="I13" s="50" t="s">
        <v>14</v>
      </c>
      <c r="J13" s="38">
        <v>50122</v>
      </c>
      <c r="K13" s="30">
        <v>1</v>
      </c>
      <c r="L13" s="50" t="s">
        <v>14</v>
      </c>
      <c r="M13" s="38">
        <v>50122</v>
      </c>
      <c r="N13" s="30">
        <v>1</v>
      </c>
      <c r="O13" s="50" t="s">
        <v>14</v>
      </c>
      <c r="P13" s="38">
        <v>50122</v>
      </c>
      <c r="Q13" s="30">
        <v>1</v>
      </c>
      <c r="R13" s="50" t="s">
        <v>14</v>
      </c>
      <c r="S13" s="173">
        <v>50122</v>
      </c>
    </row>
    <row r="14" spans="1:19" ht="12.75">
      <c r="A14" s="135"/>
      <c r="B14" s="71" t="s">
        <v>18</v>
      </c>
      <c r="C14" s="50"/>
      <c r="D14" s="38"/>
      <c r="E14" s="71" t="s">
        <v>18</v>
      </c>
      <c r="F14" s="50"/>
      <c r="G14" s="38"/>
      <c r="H14" s="71" t="s">
        <v>18</v>
      </c>
      <c r="I14" s="50"/>
      <c r="J14" s="38"/>
      <c r="K14" s="71" t="s">
        <v>18</v>
      </c>
      <c r="L14" s="50"/>
      <c r="M14" s="38"/>
      <c r="N14" s="71" t="s">
        <v>18</v>
      </c>
      <c r="O14" s="50"/>
      <c r="P14" s="38"/>
      <c r="Q14" s="71" t="s">
        <v>18</v>
      </c>
      <c r="R14" s="50"/>
      <c r="S14" s="173"/>
    </row>
    <row r="15" spans="1:19" ht="12.75">
      <c r="A15" s="135"/>
      <c r="B15" s="30">
        <v>0.473</v>
      </c>
      <c r="C15" s="50" t="s">
        <v>15</v>
      </c>
      <c r="D15" s="38">
        <v>51961</v>
      </c>
      <c r="E15" s="30">
        <v>1</v>
      </c>
      <c r="F15" s="50" t="s">
        <v>15</v>
      </c>
      <c r="G15" s="38">
        <v>114915</v>
      </c>
      <c r="H15" s="30">
        <v>1</v>
      </c>
      <c r="I15" s="50" t="s">
        <v>15</v>
      </c>
      <c r="J15" s="38">
        <v>120076</v>
      </c>
      <c r="K15" s="30">
        <v>1</v>
      </c>
      <c r="L15" s="50" t="s">
        <v>15</v>
      </c>
      <c r="M15" s="38">
        <v>124770</v>
      </c>
      <c r="N15" s="30">
        <v>1</v>
      </c>
      <c r="O15" s="50" t="s">
        <v>15</v>
      </c>
      <c r="P15" s="38">
        <v>130011</v>
      </c>
      <c r="Q15" s="30">
        <v>1</v>
      </c>
      <c r="R15" s="50" t="s">
        <v>15</v>
      </c>
      <c r="S15" s="173">
        <v>135471</v>
      </c>
    </row>
    <row r="16" spans="1:19" ht="12.75">
      <c r="A16" s="135"/>
      <c r="B16" s="30">
        <v>0.541</v>
      </c>
      <c r="C16" s="50" t="s">
        <v>16</v>
      </c>
      <c r="D16" s="38">
        <v>49931</v>
      </c>
      <c r="E16" s="30">
        <v>2</v>
      </c>
      <c r="F16" s="50" t="s">
        <v>16</v>
      </c>
      <c r="G16" s="38">
        <v>193268</v>
      </c>
      <c r="H16" s="30">
        <v>3</v>
      </c>
      <c r="I16" s="43" t="s">
        <v>16</v>
      </c>
      <c r="J16" s="38">
        <v>302923</v>
      </c>
      <c r="K16" s="30">
        <v>3</v>
      </c>
      <c r="L16" s="50" t="s">
        <v>16</v>
      </c>
      <c r="M16" s="38">
        <v>314764</v>
      </c>
      <c r="N16" s="30">
        <v>3</v>
      </c>
      <c r="O16" s="50" t="s">
        <v>16</v>
      </c>
      <c r="P16" s="38">
        <v>327985</v>
      </c>
      <c r="Q16" s="30">
        <v>3</v>
      </c>
      <c r="R16" s="50" t="s">
        <v>16</v>
      </c>
      <c r="S16" s="173">
        <v>341760</v>
      </c>
    </row>
    <row r="17" spans="1:19" ht="12.75">
      <c r="A17" s="135"/>
      <c r="B17" s="30">
        <v>0.45</v>
      </c>
      <c r="C17" s="50" t="s">
        <v>11</v>
      </c>
      <c r="D17" s="38">
        <v>34723</v>
      </c>
      <c r="E17" s="30">
        <v>2</v>
      </c>
      <c r="F17" s="50" t="s">
        <v>11</v>
      </c>
      <c r="G17" s="38">
        <v>161257</v>
      </c>
      <c r="H17" s="30">
        <v>2</v>
      </c>
      <c r="I17" s="50" t="s">
        <v>11</v>
      </c>
      <c r="J17" s="38">
        <v>168500</v>
      </c>
      <c r="K17" s="30">
        <v>2</v>
      </c>
      <c r="L17" s="50" t="s">
        <v>11</v>
      </c>
      <c r="M17" s="38">
        <v>175087</v>
      </c>
      <c r="N17" s="30">
        <v>2</v>
      </c>
      <c r="O17" s="50" t="s">
        <v>11</v>
      </c>
      <c r="P17" s="38">
        <v>182440</v>
      </c>
      <c r="Q17" s="30">
        <v>2</v>
      </c>
      <c r="R17" s="50" t="s">
        <v>11</v>
      </c>
      <c r="S17" s="173">
        <v>190103</v>
      </c>
    </row>
    <row r="18" spans="1:19" ht="12.75">
      <c r="A18" s="135"/>
      <c r="B18" s="30">
        <v>0.405</v>
      </c>
      <c r="C18" s="50" t="s">
        <v>12</v>
      </c>
      <c r="D18" s="38">
        <v>25831</v>
      </c>
      <c r="E18" s="30">
        <v>2</v>
      </c>
      <c r="F18" s="50" t="s">
        <v>12</v>
      </c>
      <c r="G18" s="38">
        <v>133273</v>
      </c>
      <c r="H18" s="30">
        <v>1</v>
      </c>
      <c r="I18" s="50" t="s">
        <v>12</v>
      </c>
      <c r="J18" s="38">
        <v>69630</v>
      </c>
      <c r="K18" s="30">
        <v>2</v>
      </c>
      <c r="L18" s="50" t="s">
        <v>12</v>
      </c>
      <c r="M18" s="38">
        <v>144703</v>
      </c>
      <c r="N18" s="30">
        <v>2</v>
      </c>
      <c r="O18" s="50" t="s">
        <v>12</v>
      </c>
      <c r="P18" s="38">
        <v>150780</v>
      </c>
      <c r="Q18" s="30">
        <v>2</v>
      </c>
      <c r="R18" s="50" t="s">
        <v>12</v>
      </c>
      <c r="S18" s="173">
        <v>157113</v>
      </c>
    </row>
    <row r="19" spans="1:19" ht="12.75">
      <c r="A19" s="135"/>
      <c r="B19" s="30">
        <v>0.36</v>
      </c>
      <c r="C19" s="50" t="s">
        <v>13</v>
      </c>
      <c r="D19" s="38">
        <v>18775</v>
      </c>
      <c r="E19" s="30">
        <v>2</v>
      </c>
      <c r="F19" s="50" t="s">
        <v>13</v>
      </c>
      <c r="G19" s="38">
        <v>108957</v>
      </c>
      <c r="H19" s="30">
        <v>2</v>
      </c>
      <c r="I19" s="50" t="s">
        <v>13</v>
      </c>
      <c r="J19" s="38">
        <v>111394</v>
      </c>
      <c r="K19" s="30">
        <v>2</v>
      </c>
      <c r="L19" s="50" t="s">
        <v>13</v>
      </c>
      <c r="M19" s="38">
        <v>111394</v>
      </c>
      <c r="N19" s="30">
        <v>2</v>
      </c>
      <c r="O19" s="50" t="s">
        <v>13</v>
      </c>
      <c r="P19" s="38">
        <v>111394</v>
      </c>
      <c r="Q19" s="30">
        <v>2</v>
      </c>
      <c r="R19" s="50" t="s">
        <v>13</v>
      </c>
      <c r="S19" s="173">
        <v>111394</v>
      </c>
    </row>
    <row r="20" spans="1:20" s="130" customFormat="1" ht="13.5" thickBot="1">
      <c r="A20" s="140"/>
      <c r="B20" s="100">
        <v>0.113</v>
      </c>
      <c r="C20" s="5" t="s">
        <v>14</v>
      </c>
      <c r="D20" s="152">
        <v>5273</v>
      </c>
      <c r="E20" s="100">
        <v>1</v>
      </c>
      <c r="F20" s="5" t="s">
        <v>14</v>
      </c>
      <c r="G20" s="152">
        <v>49026</v>
      </c>
      <c r="H20" s="100">
        <v>1</v>
      </c>
      <c r="I20" s="5" t="s">
        <v>14</v>
      </c>
      <c r="J20" s="152">
        <v>50122</v>
      </c>
      <c r="K20" s="100">
        <v>1</v>
      </c>
      <c r="L20" s="5" t="s">
        <v>14</v>
      </c>
      <c r="M20" s="152">
        <v>50122</v>
      </c>
      <c r="N20" s="100">
        <v>1</v>
      </c>
      <c r="O20" s="5" t="s">
        <v>14</v>
      </c>
      <c r="P20" s="152">
        <v>50122</v>
      </c>
      <c r="Q20" s="100">
        <v>1</v>
      </c>
      <c r="R20" s="5" t="s">
        <v>14</v>
      </c>
      <c r="S20" s="174">
        <v>50122</v>
      </c>
      <c r="T20" s="184"/>
    </row>
    <row r="21" spans="1:20" ht="12.75">
      <c r="A21" s="136" t="s">
        <v>19</v>
      </c>
      <c r="B21" s="39">
        <f>SUM(B5:B20)</f>
        <v>7.141000000000002</v>
      </c>
      <c r="C21" s="96"/>
      <c r="D21" s="41">
        <f>SUM(D5:D20)</f>
        <v>563772</v>
      </c>
      <c r="E21" s="39">
        <f>SUM(E5:E20)</f>
        <v>26.5</v>
      </c>
      <c r="F21" s="96"/>
      <c r="G21" s="41">
        <f>SUM(G5:G20)</f>
        <v>1971664</v>
      </c>
      <c r="H21" s="39">
        <f>SUM(H5:H20)</f>
        <v>27</v>
      </c>
      <c r="I21" s="96"/>
      <c r="J21" s="41">
        <f>SUM(J5:J20)</f>
        <v>2105843</v>
      </c>
      <c r="K21" s="39">
        <f>SUM(K5:K20)</f>
        <v>29</v>
      </c>
      <c r="L21" s="96"/>
      <c r="M21" s="41">
        <f>SUM(M5:M20)</f>
        <v>2372357</v>
      </c>
      <c r="N21" s="39">
        <f>SUM(N5:N20)</f>
        <v>29.75</v>
      </c>
      <c r="O21" s="96"/>
      <c r="P21" s="41">
        <f>SUM(P5:P20)</f>
        <v>2494348</v>
      </c>
      <c r="Q21" s="39">
        <f>SUM(Q5:Q20)</f>
        <v>30.75</v>
      </c>
      <c r="R21" s="96"/>
      <c r="S21" s="155">
        <f>SUM(S5:S20)</f>
        <v>2624486</v>
      </c>
      <c r="T21" s="185">
        <f>SUM(D21+G21+J21+M21+P21+S21)</f>
        <v>12132470</v>
      </c>
    </row>
    <row r="22" spans="1:19" ht="12.75">
      <c r="A22" s="135"/>
      <c r="B22" s="47"/>
      <c r="C22" s="48"/>
      <c r="D22" s="190"/>
      <c r="E22" s="47"/>
      <c r="F22" s="48"/>
      <c r="G22" s="38"/>
      <c r="H22" s="47"/>
      <c r="I22" s="48"/>
      <c r="J22" s="190"/>
      <c r="K22" s="129"/>
      <c r="L22" s="95"/>
      <c r="M22" s="190"/>
      <c r="N22" s="129"/>
      <c r="O22" s="95"/>
      <c r="P22" s="190"/>
      <c r="Q22" s="129"/>
      <c r="R22" s="95"/>
      <c r="S22" s="194"/>
    </row>
    <row r="23" spans="1:20" s="1" customFormat="1" ht="51.75" thickBot="1">
      <c r="A23" s="137" t="s">
        <v>24</v>
      </c>
      <c r="B23" s="59">
        <v>1</v>
      </c>
      <c r="C23" s="138"/>
      <c r="D23" s="167">
        <v>152829.6</v>
      </c>
      <c r="E23" s="59">
        <v>7.4</v>
      </c>
      <c r="F23" s="138"/>
      <c r="G23" s="167">
        <v>391402.56</v>
      </c>
      <c r="H23" s="59">
        <v>8.1</v>
      </c>
      <c r="I23" s="75"/>
      <c r="J23" s="167">
        <v>428518.32</v>
      </c>
      <c r="K23" s="59">
        <v>9</v>
      </c>
      <c r="L23" s="139"/>
      <c r="M23" s="167">
        <v>475756.56</v>
      </c>
      <c r="N23" s="59">
        <v>9.9</v>
      </c>
      <c r="O23" s="75"/>
      <c r="P23" s="167">
        <v>522994.8</v>
      </c>
      <c r="Q23" s="59">
        <v>10.8</v>
      </c>
      <c r="R23" s="139"/>
      <c r="S23" s="175">
        <v>570233.04</v>
      </c>
      <c r="T23" s="186">
        <f>SUM(D23+G23+J23+M23+P23+S23)</f>
        <v>2541734.88</v>
      </c>
    </row>
    <row r="24" spans="1:20" s="141" customFormat="1" ht="12.75">
      <c r="A24" s="142"/>
      <c r="B24" s="213"/>
      <c r="C24" s="214"/>
      <c r="D24" s="219"/>
      <c r="E24" s="213"/>
      <c r="F24" s="214"/>
      <c r="G24" s="219"/>
      <c r="H24" s="213"/>
      <c r="I24" s="214"/>
      <c r="J24" s="219"/>
      <c r="K24" s="213"/>
      <c r="L24" s="214"/>
      <c r="M24" s="219"/>
      <c r="N24" s="213"/>
      <c r="O24" s="214"/>
      <c r="P24" s="219"/>
      <c r="Q24" s="213"/>
      <c r="R24" s="214"/>
      <c r="S24" s="220"/>
      <c r="T24" s="187"/>
    </row>
    <row r="25" spans="1:20" s="141" customFormat="1" ht="13.5" thickBot="1">
      <c r="A25" s="143" t="s">
        <v>25</v>
      </c>
      <c r="B25" s="80">
        <f>SUM(B21:B24)</f>
        <v>8.141000000000002</v>
      </c>
      <c r="C25" s="218"/>
      <c r="D25" s="164">
        <f>D23+D21</f>
        <v>716601.6</v>
      </c>
      <c r="E25" s="80">
        <f>SUM(E21:E24)</f>
        <v>33.9</v>
      </c>
      <c r="F25" s="125"/>
      <c r="G25" s="164">
        <f>G23+G21</f>
        <v>2363066.56</v>
      </c>
      <c r="H25" s="80">
        <f>SUM(H21:H24)</f>
        <v>35.1</v>
      </c>
      <c r="I25" s="125"/>
      <c r="J25" s="164">
        <f>J23+J21</f>
        <v>2534361.32</v>
      </c>
      <c r="K25" s="80">
        <f>SUM(K21:K24)</f>
        <v>38</v>
      </c>
      <c r="L25" s="125"/>
      <c r="M25" s="164">
        <f>M23+M21</f>
        <v>2848113.56</v>
      </c>
      <c r="N25" s="80">
        <f>SUM(N21:N24)</f>
        <v>39.65</v>
      </c>
      <c r="O25" s="218"/>
      <c r="P25" s="164">
        <f>P23+P21</f>
        <v>3017342.8</v>
      </c>
      <c r="Q25" s="80">
        <f>SUM(Q21:Q24)</f>
        <v>41.55</v>
      </c>
      <c r="R25" s="125"/>
      <c r="S25" s="165">
        <f>S23+S21</f>
        <v>3194719.04</v>
      </c>
      <c r="T25" s="188">
        <f>SUM(T21:T23)</f>
        <v>14674204.879999999</v>
      </c>
    </row>
    <row r="26" ht="12.75">
      <c r="T26" s="38"/>
    </row>
    <row r="27" spans="1:20" ht="12.75">
      <c r="A27" s="118" t="s">
        <v>22</v>
      </c>
      <c r="T27" s="38"/>
    </row>
    <row r="28" ht="12.75">
      <c r="T28" s="38"/>
    </row>
    <row r="29" spans="13:20" ht="12.75">
      <c r="M29" s="192"/>
      <c r="N29" s="18"/>
      <c r="T29" s="38"/>
    </row>
    <row r="30" ht="12.75">
      <c r="T30" s="38"/>
    </row>
    <row r="31" ht="12.75">
      <c r="T31" s="38"/>
    </row>
    <row r="32" ht="12.75">
      <c r="T32" s="38"/>
    </row>
    <row r="33" ht="12.75">
      <c r="T33" s="38"/>
    </row>
    <row r="34" ht="12.75">
      <c r="T34" s="38"/>
    </row>
    <row r="35" ht="12.75">
      <c r="T35" s="38"/>
    </row>
    <row r="36" ht="12.75">
      <c r="T36" s="38"/>
    </row>
    <row r="37" ht="12.75">
      <c r="T37" s="38"/>
    </row>
    <row r="38" ht="12.75">
      <c r="T38" s="38"/>
    </row>
    <row r="39" ht="12.75">
      <c r="T39" s="38"/>
    </row>
    <row r="40" ht="12.75">
      <c r="T40" s="38"/>
    </row>
    <row r="41" ht="12.75">
      <c r="T41" s="38"/>
    </row>
    <row r="42" ht="12.75">
      <c r="T42" s="38"/>
    </row>
    <row r="43" ht="12.75">
      <c r="T43" s="38"/>
    </row>
    <row r="44" ht="12.75">
      <c r="T44" s="38"/>
    </row>
    <row r="45" ht="12.75">
      <c r="T45" s="38"/>
    </row>
    <row r="46" ht="12.75">
      <c r="T46" s="38"/>
    </row>
    <row r="47" ht="12.75">
      <c r="T47" s="38"/>
    </row>
    <row r="48" ht="12.75">
      <c r="T48" s="38"/>
    </row>
    <row r="49" ht="12.75">
      <c r="T49" s="38"/>
    </row>
    <row r="50" ht="12.75">
      <c r="T50" s="38"/>
    </row>
    <row r="51" ht="12.75">
      <c r="T51" s="38"/>
    </row>
    <row r="52" ht="12.75">
      <c r="T52" s="38"/>
    </row>
    <row r="53" ht="12.75">
      <c r="T53" s="38"/>
    </row>
    <row r="54" ht="12.75">
      <c r="T54" s="38"/>
    </row>
  </sheetData>
  <mergeCells count="8">
    <mergeCell ref="A1:S1"/>
    <mergeCell ref="A2:S2"/>
    <mergeCell ref="N3:P3"/>
    <mergeCell ref="Q3:S3"/>
    <mergeCell ref="B3:D3"/>
    <mergeCell ref="E3:G3"/>
    <mergeCell ref="H3:J3"/>
    <mergeCell ref="K3:M3"/>
  </mergeCells>
  <printOptions horizontalCentered="1" verticalCentered="1"/>
  <pageMargins left="0.75" right="0.75" top="1" bottom="1" header="0.5" footer="0.5"/>
  <pageSetup fitToHeight="1" fitToWidth="1" horizontalDpi="600" verticalDpi="600" orientation="landscape" paperSize="5" scale="78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140625" defaultRowHeight="12.75"/>
  <cols>
    <col min="1" max="1" width="15.421875" style="0" customWidth="1"/>
    <col min="2" max="2" width="7.57421875" style="0" customWidth="1"/>
    <col min="3" max="3" width="7.57421875" style="0" bestFit="1" customWidth="1"/>
    <col min="4" max="4" width="11.28125" style="191" bestFit="1" customWidth="1"/>
    <col min="5" max="5" width="7.57421875" style="0" customWidth="1"/>
    <col min="6" max="6" width="7.57421875" style="0" bestFit="1" customWidth="1"/>
    <col min="7" max="7" width="12.8515625" style="191" bestFit="1" customWidth="1"/>
    <col min="8" max="8" width="7.57421875" style="0" customWidth="1"/>
    <col min="9" max="9" width="7.57421875" style="0" bestFit="1" customWidth="1"/>
    <col min="10" max="10" width="12.8515625" style="191" bestFit="1" customWidth="1"/>
    <col min="11" max="11" width="7.57421875" style="0" customWidth="1"/>
    <col min="12" max="12" width="7.57421875" style="0" bestFit="1" customWidth="1"/>
    <col min="13" max="13" width="12.8515625" style="191" bestFit="1" customWidth="1"/>
    <col min="14" max="14" width="7.57421875" style="0" customWidth="1"/>
    <col min="15" max="15" width="7.57421875" style="0" bestFit="1" customWidth="1"/>
    <col min="16" max="16" width="12.8515625" style="191" bestFit="1" customWidth="1"/>
    <col min="17" max="17" width="7.57421875" style="0" customWidth="1"/>
    <col min="18" max="18" width="7.57421875" style="0" bestFit="1" customWidth="1"/>
    <col min="19" max="19" width="12.8515625" style="191" bestFit="1" customWidth="1"/>
    <col min="20" max="20" width="12.57421875" style="183" bestFit="1" customWidth="1"/>
  </cols>
  <sheetData>
    <row r="1" spans="1:28" s="19" customFormat="1" ht="29.25" customHeight="1" thickBot="1">
      <c r="A1" s="247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5"/>
      <c r="T1" s="179"/>
      <c r="U1" s="107"/>
      <c r="V1" s="107"/>
      <c r="W1" s="107"/>
      <c r="X1" s="108"/>
      <c r="Y1" s="109"/>
      <c r="Z1" s="109"/>
      <c r="AA1" s="109"/>
      <c r="AB1" s="109"/>
    </row>
    <row r="2" spans="1:20" s="130" customFormat="1" ht="30" customHeight="1" thickBot="1">
      <c r="A2" s="228" t="s">
        <v>36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1"/>
      <c r="T2" s="180"/>
    </row>
    <row r="3" spans="1:20" s="54" customFormat="1" ht="56.25" customHeight="1">
      <c r="A3" s="103"/>
      <c r="B3" s="274" t="s">
        <v>20</v>
      </c>
      <c r="C3" s="272"/>
      <c r="D3" s="272"/>
      <c r="E3" s="254" t="s">
        <v>2</v>
      </c>
      <c r="F3" s="272"/>
      <c r="G3" s="272"/>
      <c r="H3" s="254" t="s">
        <v>6</v>
      </c>
      <c r="I3" s="272"/>
      <c r="J3" s="272"/>
      <c r="K3" s="254" t="s">
        <v>3</v>
      </c>
      <c r="L3" s="272"/>
      <c r="M3" s="272"/>
      <c r="N3" s="254" t="s">
        <v>4</v>
      </c>
      <c r="O3" s="272"/>
      <c r="P3" s="272"/>
      <c r="Q3" s="254" t="s">
        <v>5</v>
      </c>
      <c r="R3" s="272"/>
      <c r="S3" s="273"/>
      <c r="T3" s="181" t="s">
        <v>28</v>
      </c>
    </row>
    <row r="4" spans="1:20" ht="12.75">
      <c r="A4" s="136" t="s">
        <v>7</v>
      </c>
      <c r="B4" s="71" t="s">
        <v>17</v>
      </c>
      <c r="C4" s="11"/>
      <c r="D4" s="197" t="s">
        <v>26</v>
      </c>
      <c r="E4" s="71" t="s">
        <v>17</v>
      </c>
      <c r="F4" s="50"/>
      <c r="G4" s="197" t="s">
        <v>26</v>
      </c>
      <c r="H4" s="71" t="s">
        <v>17</v>
      </c>
      <c r="I4" s="50"/>
      <c r="J4" s="197" t="s">
        <v>26</v>
      </c>
      <c r="K4" s="71" t="s">
        <v>17</v>
      </c>
      <c r="L4" s="50"/>
      <c r="M4" s="197" t="s">
        <v>26</v>
      </c>
      <c r="N4" s="71" t="s">
        <v>17</v>
      </c>
      <c r="O4" s="50"/>
      <c r="P4" s="197" t="s">
        <v>26</v>
      </c>
      <c r="Q4" s="71" t="s">
        <v>17</v>
      </c>
      <c r="R4" s="50"/>
      <c r="S4" s="195" t="s">
        <v>26</v>
      </c>
      <c r="T4" s="182"/>
    </row>
    <row r="5" spans="1:20" ht="12.75">
      <c r="A5" s="135"/>
      <c r="B5" s="30">
        <v>0.563</v>
      </c>
      <c r="C5" s="50" t="s">
        <v>8</v>
      </c>
      <c r="D5" s="38">
        <v>73087</v>
      </c>
      <c r="E5" s="30">
        <v>1</v>
      </c>
      <c r="F5" s="50" t="s">
        <v>8</v>
      </c>
      <c r="G5" s="38">
        <v>135672</v>
      </c>
      <c r="H5" s="30">
        <v>1</v>
      </c>
      <c r="I5" s="50" t="s">
        <v>8</v>
      </c>
      <c r="J5" s="38">
        <v>141766</v>
      </c>
      <c r="K5" s="30">
        <v>1</v>
      </c>
      <c r="L5" s="50" t="s">
        <v>8</v>
      </c>
      <c r="M5" s="38">
        <v>147308</v>
      </c>
      <c r="N5" s="30">
        <v>1</v>
      </c>
      <c r="O5" s="50" t="s">
        <v>8</v>
      </c>
      <c r="P5" s="38">
        <v>153495</v>
      </c>
      <c r="Q5" s="30">
        <v>1</v>
      </c>
      <c r="R5" s="50" t="s">
        <v>8</v>
      </c>
      <c r="S5" s="173">
        <v>159942</v>
      </c>
      <c r="T5" s="182"/>
    </row>
    <row r="6" spans="1:20" ht="12.75">
      <c r="A6" s="135"/>
      <c r="B6" s="30">
        <v>0.518</v>
      </c>
      <c r="C6" s="50" t="s">
        <v>9</v>
      </c>
      <c r="D6" s="38">
        <v>56904</v>
      </c>
      <c r="E6" s="30">
        <v>1</v>
      </c>
      <c r="F6" s="50" t="s">
        <v>9</v>
      </c>
      <c r="G6" s="38">
        <v>114915</v>
      </c>
      <c r="H6" s="30">
        <v>1</v>
      </c>
      <c r="I6" s="50" t="s">
        <v>9</v>
      </c>
      <c r="J6" s="38">
        <v>120076</v>
      </c>
      <c r="K6" s="30">
        <v>1</v>
      </c>
      <c r="L6" s="50" t="s">
        <v>9</v>
      </c>
      <c r="M6" s="38">
        <v>147308</v>
      </c>
      <c r="N6" s="30">
        <v>1</v>
      </c>
      <c r="O6" s="50" t="s">
        <v>9</v>
      </c>
      <c r="P6" s="38">
        <v>153495</v>
      </c>
      <c r="Q6" s="30">
        <v>1</v>
      </c>
      <c r="R6" s="50" t="s">
        <v>9</v>
      </c>
      <c r="S6" s="173">
        <v>159942</v>
      </c>
      <c r="T6" s="182"/>
    </row>
    <row r="7" spans="1:19" ht="12.75">
      <c r="A7" s="135"/>
      <c r="B7" s="30">
        <f>0.338+0.293</f>
        <v>0.631</v>
      </c>
      <c r="C7" s="50" t="s">
        <v>10</v>
      </c>
      <c r="D7" s="38">
        <f>31224+27067</f>
        <v>58291</v>
      </c>
      <c r="E7" s="30">
        <v>2</v>
      </c>
      <c r="F7" s="50" t="s">
        <v>10</v>
      </c>
      <c r="G7" s="38">
        <f>96634+96634</f>
        <v>193268</v>
      </c>
      <c r="H7" s="30">
        <v>2</v>
      </c>
      <c r="I7" s="50" t="s">
        <v>10</v>
      </c>
      <c r="J7" s="38">
        <f>100974+100974</f>
        <v>201948</v>
      </c>
      <c r="K7" s="30">
        <v>2</v>
      </c>
      <c r="L7" s="50" t="s">
        <v>10</v>
      </c>
      <c r="M7" s="38">
        <f>124770+124770</f>
        <v>249540</v>
      </c>
      <c r="N7" s="30">
        <v>2</v>
      </c>
      <c r="O7" s="50" t="s">
        <v>10</v>
      </c>
      <c r="P7" s="38">
        <f>130011+130011</f>
        <v>260022</v>
      </c>
      <c r="Q7" s="30">
        <v>2</v>
      </c>
      <c r="R7" s="50" t="s">
        <v>10</v>
      </c>
      <c r="S7" s="173">
        <f>135471*2</f>
        <v>270942</v>
      </c>
    </row>
    <row r="8" spans="1:19" ht="12.75">
      <c r="A8" s="135"/>
      <c r="B8" s="30">
        <v>0.248</v>
      </c>
      <c r="C8" s="50" t="s">
        <v>11</v>
      </c>
      <c r="D8" s="38">
        <v>19077</v>
      </c>
      <c r="E8" s="30">
        <v>0.75</v>
      </c>
      <c r="F8" s="50" t="s">
        <v>11</v>
      </c>
      <c r="G8" s="38">
        <v>60471</v>
      </c>
      <c r="H8" s="30">
        <v>0.75</v>
      </c>
      <c r="I8" s="50" t="s">
        <v>11</v>
      </c>
      <c r="J8" s="38">
        <v>63187</v>
      </c>
      <c r="K8" s="30">
        <v>0.75</v>
      </c>
      <c r="L8" s="50" t="s">
        <v>11</v>
      </c>
      <c r="M8" s="38">
        <v>65658</v>
      </c>
      <c r="N8" s="30">
        <v>0.75</v>
      </c>
      <c r="O8" s="50" t="s">
        <v>11</v>
      </c>
      <c r="P8" s="38">
        <v>68415</v>
      </c>
      <c r="Q8" s="30">
        <v>0.75</v>
      </c>
      <c r="R8" s="50" t="s">
        <v>11</v>
      </c>
      <c r="S8" s="173">
        <v>71289</v>
      </c>
    </row>
    <row r="9" spans="1:19" ht="12.75">
      <c r="A9" s="135"/>
      <c r="B9" s="71" t="s">
        <v>30</v>
      </c>
      <c r="C9" s="50"/>
      <c r="D9" s="38"/>
      <c r="E9" s="71" t="s">
        <v>30</v>
      </c>
      <c r="F9" s="50"/>
      <c r="G9" s="38"/>
      <c r="H9" s="71" t="s">
        <v>30</v>
      </c>
      <c r="I9" s="50"/>
      <c r="J9" s="38"/>
      <c r="K9" s="71" t="s">
        <v>30</v>
      </c>
      <c r="L9" s="50"/>
      <c r="M9" s="38"/>
      <c r="N9" s="71" t="s">
        <v>30</v>
      </c>
      <c r="O9" s="50"/>
      <c r="P9" s="38"/>
      <c r="Q9" s="71" t="s">
        <v>30</v>
      </c>
      <c r="R9" s="50"/>
      <c r="S9" s="173"/>
    </row>
    <row r="10" spans="1:19" ht="12.75">
      <c r="A10" s="135"/>
      <c r="B10" s="30">
        <v>0.473</v>
      </c>
      <c r="C10" s="50" t="s">
        <v>11</v>
      </c>
      <c r="D10" s="38">
        <v>36458</v>
      </c>
      <c r="E10" s="30">
        <v>1</v>
      </c>
      <c r="F10" s="50" t="s">
        <v>11</v>
      </c>
      <c r="G10" s="38">
        <v>80628</v>
      </c>
      <c r="H10" s="30">
        <v>1</v>
      </c>
      <c r="I10" s="50" t="s">
        <v>11</v>
      </c>
      <c r="J10" s="38">
        <v>84250</v>
      </c>
      <c r="K10" s="30">
        <v>1</v>
      </c>
      <c r="L10" s="50" t="s">
        <v>11</v>
      </c>
      <c r="M10" s="38">
        <v>87543</v>
      </c>
      <c r="N10" s="30">
        <v>1</v>
      </c>
      <c r="O10" s="50" t="s">
        <v>11</v>
      </c>
      <c r="P10" s="38">
        <v>91220</v>
      </c>
      <c r="Q10" s="30">
        <v>1</v>
      </c>
      <c r="R10" s="50" t="s">
        <v>11</v>
      </c>
      <c r="S10" s="173">
        <v>95051</v>
      </c>
    </row>
    <row r="11" spans="1:19" ht="12.75">
      <c r="A11" s="135"/>
      <c r="B11" s="46">
        <f>0.18+0.18+0.248</f>
        <v>0.608</v>
      </c>
      <c r="C11" s="50" t="s">
        <v>12</v>
      </c>
      <c r="D11" s="38">
        <f>12486+12972+16445</f>
        <v>41903</v>
      </c>
      <c r="E11" s="30">
        <v>3</v>
      </c>
      <c r="F11" s="50" t="s">
        <v>12</v>
      </c>
      <c r="G11" s="38">
        <f>73277+76132+70192</f>
        <v>219601</v>
      </c>
      <c r="H11" s="30">
        <v>3</v>
      </c>
      <c r="I11" s="50" t="s">
        <v>12</v>
      </c>
      <c r="J11" s="38">
        <f>76568+79552+73345</f>
        <v>229465</v>
      </c>
      <c r="K11" s="30">
        <v>3</v>
      </c>
      <c r="L11" s="50" t="s">
        <v>12</v>
      </c>
      <c r="M11" s="38">
        <f>79561+82662+76212</f>
        <v>238435</v>
      </c>
      <c r="N11" s="30">
        <v>3</v>
      </c>
      <c r="O11" s="50" t="s">
        <v>12</v>
      </c>
      <c r="P11" s="38">
        <f>82903+86133+79413</f>
        <v>248449</v>
      </c>
      <c r="Q11" s="30">
        <v>4</v>
      </c>
      <c r="R11" s="50" t="s">
        <v>12</v>
      </c>
      <c r="S11" s="173">
        <f>86385+89751+82749+83567</f>
        <v>342452</v>
      </c>
    </row>
    <row r="12" spans="1:19" ht="12.75">
      <c r="A12" s="135"/>
      <c r="B12" s="30">
        <f>0.293+0.293+0.586+0.158+0.248+0.45+0.18+0.18+0.18</f>
        <v>2.5680000000000005</v>
      </c>
      <c r="C12" s="50" t="s">
        <v>13</v>
      </c>
      <c r="D12" s="38">
        <f>16229+16229+33203+8203+12890+26543+9875+9778+9374</f>
        <v>142324</v>
      </c>
      <c r="E12" s="30">
        <v>11.5</v>
      </c>
      <c r="F12" s="50" t="s">
        <v>13</v>
      </c>
      <c r="G12" s="38">
        <f>58290+58290+149812+55033+55033+124520+57970+57403+55033</f>
        <v>671384</v>
      </c>
      <c r="H12" s="30">
        <v>11.5</v>
      </c>
      <c r="I12" s="50" t="s">
        <v>13</v>
      </c>
      <c r="J12" s="38">
        <f>59594+59594+153162+56264+56264+127304+59266+58686+56264</f>
        <v>686398</v>
      </c>
      <c r="K12" s="30">
        <v>12</v>
      </c>
      <c r="L12" s="50" t="s">
        <v>13</v>
      </c>
      <c r="M12" s="38">
        <f>59594+59594+183795+56264+56264+127304+59266+58686+56264</f>
        <v>717031</v>
      </c>
      <c r="N12" s="30">
        <v>13</v>
      </c>
      <c r="O12" s="50" t="s">
        <v>13</v>
      </c>
      <c r="P12" s="38">
        <f>59594+59594+183795+56264+56264+127304+118532+58686+56264</f>
        <v>776297</v>
      </c>
      <c r="Q12" s="30">
        <v>13</v>
      </c>
      <c r="R12" s="50" t="s">
        <v>13</v>
      </c>
      <c r="S12" s="173">
        <f>59594+59594+183795+56264+112528+127304+59266+58686+56264</f>
        <v>773295</v>
      </c>
    </row>
    <row r="13" spans="1:19" ht="12.75">
      <c r="A13" s="135"/>
      <c r="B13" s="30">
        <v>0.113</v>
      </c>
      <c r="C13" s="50" t="s">
        <v>14</v>
      </c>
      <c r="D13" s="38">
        <v>5273</v>
      </c>
      <c r="E13" s="30">
        <v>1</v>
      </c>
      <c r="F13" s="50" t="s">
        <v>14</v>
      </c>
      <c r="G13" s="38">
        <v>49026</v>
      </c>
      <c r="H13" s="30">
        <v>1</v>
      </c>
      <c r="I13" s="50" t="s">
        <v>14</v>
      </c>
      <c r="J13" s="38">
        <v>50122</v>
      </c>
      <c r="K13" s="30">
        <v>1</v>
      </c>
      <c r="L13" s="50" t="s">
        <v>14</v>
      </c>
      <c r="M13" s="38">
        <v>50122</v>
      </c>
      <c r="N13" s="30">
        <v>1</v>
      </c>
      <c r="O13" s="50" t="s">
        <v>14</v>
      </c>
      <c r="P13" s="38">
        <v>50122</v>
      </c>
      <c r="Q13" s="30">
        <v>1</v>
      </c>
      <c r="R13" s="50" t="s">
        <v>14</v>
      </c>
      <c r="S13" s="173">
        <v>50122</v>
      </c>
    </row>
    <row r="14" spans="1:19" ht="12.75">
      <c r="A14" s="135"/>
      <c r="B14" s="71" t="s">
        <v>18</v>
      </c>
      <c r="C14" s="50"/>
      <c r="D14" s="38"/>
      <c r="E14" s="71" t="s">
        <v>18</v>
      </c>
      <c r="F14" s="50"/>
      <c r="G14" s="38"/>
      <c r="H14" s="71" t="s">
        <v>18</v>
      </c>
      <c r="I14" s="50"/>
      <c r="J14" s="38"/>
      <c r="K14" s="71" t="s">
        <v>18</v>
      </c>
      <c r="L14" s="50"/>
      <c r="M14" s="38"/>
      <c r="N14" s="71" t="s">
        <v>18</v>
      </c>
      <c r="O14" s="50"/>
      <c r="P14" s="38"/>
      <c r="Q14" s="71" t="s">
        <v>18</v>
      </c>
      <c r="R14" s="50"/>
      <c r="S14" s="173"/>
    </row>
    <row r="15" spans="1:19" ht="12.75">
      <c r="A15" s="135"/>
      <c r="B15" s="30">
        <v>0.518</v>
      </c>
      <c r="C15" s="50" t="s">
        <v>15</v>
      </c>
      <c r="D15" s="38">
        <v>56904</v>
      </c>
      <c r="E15" s="30">
        <v>1</v>
      </c>
      <c r="F15" s="50" t="s">
        <v>15</v>
      </c>
      <c r="G15" s="38">
        <v>114915</v>
      </c>
      <c r="H15" s="30">
        <v>1</v>
      </c>
      <c r="I15" s="50" t="s">
        <v>15</v>
      </c>
      <c r="J15" s="38">
        <v>120076</v>
      </c>
      <c r="K15" s="30">
        <v>1</v>
      </c>
      <c r="L15" s="50" t="s">
        <v>15</v>
      </c>
      <c r="M15" s="38">
        <v>124770</v>
      </c>
      <c r="N15" s="30">
        <v>1</v>
      </c>
      <c r="O15" s="50" t="s">
        <v>15</v>
      </c>
      <c r="P15" s="38">
        <v>130011</v>
      </c>
      <c r="Q15" s="30">
        <v>1</v>
      </c>
      <c r="R15" s="50" t="s">
        <v>15</v>
      </c>
      <c r="S15" s="173">
        <v>135471</v>
      </c>
    </row>
    <row r="16" spans="1:19" ht="12.75">
      <c r="A16" s="135"/>
      <c r="B16" s="30">
        <v>0.923</v>
      </c>
      <c r="C16" s="50" t="s">
        <v>16</v>
      </c>
      <c r="D16" s="38">
        <v>85311</v>
      </c>
      <c r="E16" s="30">
        <v>4</v>
      </c>
      <c r="F16" s="50" t="s">
        <v>16</v>
      </c>
      <c r="G16" s="38">
        <v>386535</v>
      </c>
      <c r="H16" s="30">
        <v>4</v>
      </c>
      <c r="I16" s="43" t="s">
        <v>16</v>
      </c>
      <c r="J16" s="38">
        <v>403897</v>
      </c>
      <c r="K16" s="30">
        <v>4</v>
      </c>
      <c r="L16" s="50" t="s">
        <v>16</v>
      </c>
      <c r="M16" s="38">
        <v>419686</v>
      </c>
      <c r="N16" s="30">
        <v>4</v>
      </c>
      <c r="O16" s="50" t="s">
        <v>16</v>
      </c>
      <c r="P16" s="38">
        <v>437313</v>
      </c>
      <c r="Q16" s="30">
        <v>4</v>
      </c>
      <c r="R16" s="50" t="s">
        <v>16</v>
      </c>
      <c r="S16" s="173">
        <v>455680</v>
      </c>
    </row>
    <row r="17" spans="1:19" ht="12.75">
      <c r="A17" s="135"/>
      <c r="B17" s="30">
        <v>0.36</v>
      </c>
      <c r="C17" s="50" t="s">
        <v>11</v>
      </c>
      <c r="D17" s="38">
        <v>27786</v>
      </c>
      <c r="E17" s="30">
        <v>2</v>
      </c>
      <c r="F17" s="50" t="s">
        <v>11</v>
      </c>
      <c r="G17" s="38">
        <v>161257</v>
      </c>
      <c r="H17" s="30">
        <v>2</v>
      </c>
      <c r="I17" s="50" t="s">
        <v>11</v>
      </c>
      <c r="J17" s="38">
        <v>168500</v>
      </c>
      <c r="K17" s="30">
        <v>3</v>
      </c>
      <c r="L17" s="50" t="s">
        <v>11</v>
      </c>
      <c r="M17" s="38">
        <v>262630</v>
      </c>
      <c r="N17" s="30">
        <v>3</v>
      </c>
      <c r="O17" s="50" t="s">
        <v>11</v>
      </c>
      <c r="P17" s="38">
        <v>273660</v>
      </c>
      <c r="Q17" s="30">
        <v>3</v>
      </c>
      <c r="R17" s="50" t="s">
        <v>11</v>
      </c>
      <c r="S17" s="173">
        <v>285154</v>
      </c>
    </row>
    <row r="18" spans="1:19" ht="12.75">
      <c r="A18" s="135"/>
      <c r="B18" s="30">
        <v>0.45</v>
      </c>
      <c r="C18" s="50" t="s">
        <v>12</v>
      </c>
      <c r="D18" s="38">
        <v>28698</v>
      </c>
      <c r="E18" s="30">
        <v>2</v>
      </c>
      <c r="F18" s="50" t="s">
        <v>12</v>
      </c>
      <c r="G18" s="38">
        <v>133273</v>
      </c>
      <c r="H18" s="30">
        <v>2</v>
      </c>
      <c r="I18" s="50" t="s">
        <v>12</v>
      </c>
      <c r="J18" s="38">
        <v>139259</v>
      </c>
      <c r="K18" s="30">
        <v>3</v>
      </c>
      <c r="L18" s="50" t="s">
        <v>12</v>
      </c>
      <c r="M18" s="38">
        <v>217054</v>
      </c>
      <c r="N18" s="30">
        <v>3</v>
      </c>
      <c r="O18" s="50" t="s">
        <v>12</v>
      </c>
      <c r="P18" s="38">
        <v>226171</v>
      </c>
      <c r="Q18" s="30">
        <v>3</v>
      </c>
      <c r="R18" s="50" t="s">
        <v>12</v>
      </c>
      <c r="S18" s="173">
        <v>235670</v>
      </c>
    </row>
    <row r="19" spans="1:19" ht="12.75">
      <c r="A19" s="135"/>
      <c r="B19" s="30">
        <v>0.428</v>
      </c>
      <c r="C19" s="50" t="s">
        <v>13</v>
      </c>
      <c r="D19" s="38">
        <v>22290</v>
      </c>
      <c r="E19" s="30">
        <v>3</v>
      </c>
      <c r="F19" s="50" t="s">
        <v>13</v>
      </c>
      <c r="G19" s="38">
        <v>163436</v>
      </c>
      <c r="H19" s="30">
        <v>3</v>
      </c>
      <c r="I19" s="50" t="s">
        <v>13</v>
      </c>
      <c r="J19" s="38">
        <v>167091</v>
      </c>
      <c r="K19" s="30">
        <v>3</v>
      </c>
      <c r="L19" s="50" t="s">
        <v>13</v>
      </c>
      <c r="M19" s="38">
        <v>167091</v>
      </c>
      <c r="N19" s="30">
        <v>3</v>
      </c>
      <c r="O19" s="50" t="s">
        <v>13</v>
      </c>
      <c r="P19" s="38">
        <v>167091</v>
      </c>
      <c r="Q19" s="30">
        <v>3</v>
      </c>
      <c r="R19" s="50" t="s">
        <v>13</v>
      </c>
      <c r="S19" s="173">
        <v>167091</v>
      </c>
    </row>
    <row r="20" spans="1:20" s="130" customFormat="1" ht="13.5" thickBot="1">
      <c r="A20" s="140"/>
      <c r="B20" s="100">
        <v>0.113</v>
      </c>
      <c r="C20" s="5" t="s">
        <v>14</v>
      </c>
      <c r="D20" s="152">
        <v>5273</v>
      </c>
      <c r="E20" s="100">
        <v>1</v>
      </c>
      <c r="F20" s="5" t="s">
        <v>14</v>
      </c>
      <c r="G20" s="152">
        <v>49026</v>
      </c>
      <c r="H20" s="100">
        <v>1</v>
      </c>
      <c r="I20" s="5" t="s">
        <v>14</v>
      </c>
      <c r="J20" s="152">
        <v>50122</v>
      </c>
      <c r="K20" s="100">
        <v>1</v>
      </c>
      <c r="L20" s="5" t="s">
        <v>14</v>
      </c>
      <c r="M20" s="152">
        <v>50122</v>
      </c>
      <c r="N20" s="100">
        <v>1</v>
      </c>
      <c r="O20" s="5" t="s">
        <v>14</v>
      </c>
      <c r="P20" s="152">
        <v>50122</v>
      </c>
      <c r="Q20" s="100">
        <v>1</v>
      </c>
      <c r="R20" s="5" t="s">
        <v>14</v>
      </c>
      <c r="S20" s="174">
        <v>50122</v>
      </c>
      <c r="T20" s="184"/>
    </row>
    <row r="21" spans="1:20" ht="12.75">
      <c r="A21" s="136" t="s">
        <v>19</v>
      </c>
      <c r="B21" s="39">
        <f>SUM(B5:B20)</f>
        <v>8.514000000000001</v>
      </c>
      <c r="C21" s="96"/>
      <c r="D21" s="41">
        <f>SUM(D5:D20)</f>
        <v>659579</v>
      </c>
      <c r="E21" s="39">
        <f>SUM(E5:E20)</f>
        <v>34.25</v>
      </c>
      <c r="F21" s="96"/>
      <c r="G21" s="41">
        <f>SUM(G5:G20)</f>
        <v>2533407</v>
      </c>
      <c r="H21" s="39">
        <f>SUM(H5:H20)</f>
        <v>34.25</v>
      </c>
      <c r="I21" s="96"/>
      <c r="J21" s="41">
        <f>SUM(J5:J20)</f>
        <v>2626157</v>
      </c>
      <c r="K21" s="39">
        <f>SUM(K5:K20)</f>
        <v>36.75</v>
      </c>
      <c r="L21" s="96"/>
      <c r="M21" s="41">
        <f>SUM(M5:M20)</f>
        <v>2944298</v>
      </c>
      <c r="N21" s="39">
        <f>SUM(N5:N20)</f>
        <v>37.75</v>
      </c>
      <c r="O21" s="96"/>
      <c r="P21" s="41">
        <f>SUM(P5:P20)</f>
        <v>3085883</v>
      </c>
      <c r="Q21" s="39">
        <f>SUM(Q5:Q20)</f>
        <v>38.75</v>
      </c>
      <c r="R21" s="96"/>
      <c r="S21" s="155">
        <f>SUM(S5:S20)</f>
        <v>3252223</v>
      </c>
      <c r="T21" s="185">
        <f>SUM(D21+G21+J21+M21+P21+S21)</f>
        <v>15101547</v>
      </c>
    </row>
    <row r="22" spans="1:19" ht="12.75">
      <c r="A22" s="135"/>
      <c r="B22" s="47"/>
      <c r="C22" s="48"/>
      <c r="D22" s="190"/>
      <c r="E22" s="47"/>
      <c r="F22" s="48"/>
      <c r="G22" s="190"/>
      <c r="H22" s="129"/>
      <c r="I22" s="95"/>
      <c r="J22" s="190"/>
      <c r="K22" s="47"/>
      <c r="L22" s="48"/>
      <c r="M22" s="190"/>
      <c r="N22" s="47"/>
      <c r="O22" s="48"/>
      <c r="P22" s="190"/>
      <c r="Q22" s="47"/>
      <c r="R22" s="48"/>
      <c r="S22" s="194"/>
    </row>
    <row r="23" spans="1:20" s="75" customFormat="1" ht="51.75" thickBot="1">
      <c r="A23" s="137" t="s">
        <v>24</v>
      </c>
      <c r="B23" s="59">
        <v>1</v>
      </c>
      <c r="D23" s="167">
        <v>152829.6</v>
      </c>
      <c r="E23" s="59">
        <v>9.6</v>
      </c>
      <c r="G23" s="167">
        <v>502749.84</v>
      </c>
      <c r="H23" s="59">
        <v>10.3</v>
      </c>
      <c r="J23" s="167">
        <v>543239.76</v>
      </c>
      <c r="K23" s="59">
        <v>11.2</v>
      </c>
      <c r="M23" s="167">
        <v>590478</v>
      </c>
      <c r="N23" s="59">
        <v>12</v>
      </c>
      <c r="P23" s="167">
        <v>637716.24</v>
      </c>
      <c r="Q23" s="59">
        <v>13</v>
      </c>
      <c r="S23" s="175">
        <v>684954.48</v>
      </c>
      <c r="T23" s="186">
        <f>SUM(D23+G23+J23+M23+P23+S23)</f>
        <v>3111967.9200000004</v>
      </c>
    </row>
    <row r="24" spans="1:20" s="141" customFormat="1" ht="13.5" customHeight="1">
      <c r="A24" s="142"/>
      <c r="B24" s="213"/>
      <c r="C24" s="214"/>
      <c r="D24" s="219"/>
      <c r="E24" s="213"/>
      <c r="F24" s="214"/>
      <c r="G24" s="219"/>
      <c r="H24" s="213"/>
      <c r="I24" s="214"/>
      <c r="J24" s="219"/>
      <c r="K24" s="213"/>
      <c r="L24" s="214"/>
      <c r="M24" s="219"/>
      <c r="N24" s="213"/>
      <c r="O24" s="214"/>
      <c r="P24" s="219"/>
      <c r="Q24" s="213"/>
      <c r="R24" s="214"/>
      <c r="S24" s="220"/>
      <c r="T24" s="187"/>
    </row>
    <row r="25" spans="1:20" s="122" customFormat="1" ht="13.5" thickBot="1">
      <c r="A25" s="143" t="s">
        <v>25</v>
      </c>
      <c r="B25" s="80">
        <f>SUM(B21:B24)</f>
        <v>9.514000000000001</v>
      </c>
      <c r="C25" s="125"/>
      <c r="D25" s="164">
        <f>D23+D21</f>
        <v>812408.6</v>
      </c>
      <c r="E25" s="80">
        <f>SUM(E21:E24)</f>
        <v>43.85</v>
      </c>
      <c r="F25" s="125"/>
      <c r="G25" s="164">
        <f>G23+G21</f>
        <v>3036156.84</v>
      </c>
      <c r="H25" s="80">
        <f>SUM(H21:H24)</f>
        <v>44.55</v>
      </c>
      <c r="I25" s="125"/>
      <c r="J25" s="164">
        <f>J23+J21</f>
        <v>3169396.76</v>
      </c>
      <c r="K25" s="80">
        <f>SUM(K21:K24)</f>
        <v>47.95</v>
      </c>
      <c r="L25" s="125"/>
      <c r="M25" s="164">
        <f>M23+M21</f>
        <v>3534776</v>
      </c>
      <c r="N25" s="80">
        <f>SUM(N21:N24)</f>
        <v>49.75</v>
      </c>
      <c r="O25" s="125"/>
      <c r="P25" s="164">
        <f>P23+P21</f>
        <v>3723599.24</v>
      </c>
      <c r="Q25" s="80">
        <f>SUM(Q21:Q24)</f>
        <v>51.75</v>
      </c>
      <c r="R25" s="125"/>
      <c r="S25" s="165">
        <f>S23+S21</f>
        <v>3937177.48</v>
      </c>
      <c r="T25" s="188">
        <f>SUM(T21:T23)</f>
        <v>18213514.92</v>
      </c>
    </row>
    <row r="26" ht="12.75">
      <c r="T26" s="38"/>
    </row>
    <row r="27" spans="1:20" s="118" customFormat="1" ht="12.75">
      <c r="A27" s="118" t="s">
        <v>22</v>
      </c>
      <c r="D27" s="196"/>
      <c r="G27" s="196"/>
      <c r="J27" s="196"/>
      <c r="M27" s="196"/>
      <c r="P27" s="196"/>
      <c r="S27" s="196"/>
      <c r="T27" s="38"/>
    </row>
    <row r="28" ht="12.75">
      <c r="T28" s="38"/>
    </row>
    <row r="29" ht="12.75">
      <c r="T29" s="38"/>
    </row>
    <row r="30" ht="12.75">
      <c r="T30" s="38"/>
    </row>
    <row r="31" ht="12.75">
      <c r="T31" s="38"/>
    </row>
    <row r="32" ht="12.75">
      <c r="T32" s="38"/>
    </row>
    <row r="33" ht="12.75">
      <c r="T33" s="38"/>
    </row>
    <row r="34" ht="12.75">
      <c r="T34" s="38"/>
    </row>
    <row r="35" ht="12.75">
      <c r="T35" s="38"/>
    </row>
    <row r="36" ht="12.75">
      <c r="T36" s="38"/>
    </row>
    <row r="37" ht="12.75">
      <c r="T37" s="38"/>
    </row>
    <row r="38" ht="12.75">
      <c r="T38" s="38"/>
    </row>
    <row r="39" ht="12.75">
      <c r="T39" s="38"/>
    </row>
    <row r="40" ht="12.75">
      <c r="T40" s="38"/>
    </row>
    <row r="41" ht="12.75">
      <c r="T41" s="38"/>
    </row>
    <row r="42" ht="12.75">
      <c r="T42" s="38"/>
    </row>
    <row r="43" ht="12.75">
      <c r="T43" s="38"/>
    </row>
    <row r="44" ht="12.75">
      <c r="T44" s="38"/>
    </row>
    <row r="45" ht="12.75">
      <c r="T45" s="38"/>
    </row>
    <row r="46" ht="12.75">
      <c r="T46" s="38"/>
    </row>
    <row r="47" ht="12.75">
      <c r="T47" s="38"/>
    </row>
    <row r="48" ht="12.75">
      <c r="T48" s="38"/>
    </row>
    <row r="49" ht="12.75">
      <c r="T49" s="38"/>
    </row>
    <row r="50" ht="12.75">
      <c r="T50" s="38"/>
    </row>
    <row r="51" ht="12.75">
      <c r="T51" s="38"/>
    </row>
    <row r="52" ht="12.75">
      <c r="T52" s="38"/>
    </row>
    <row r="53" ht="12.75">
      <c r="T53" s="38"/>
    </row>
    <row r="54" ht="12.75">
      <c r="T54" s="38"/>
    </row>
  </sheetData>
  <mergeCells count="8">
    <mergeCell ref="A2:S2"/>
    <mergeCell ref="A1:S1"/>
    <mergeCell ref="B3:D3"/>
    <mergeCell ref="E3:G3"/>
    <mergeCell ref="H3:J3"/>
    <mergeCell ref="K3:M3"/>
    <mergeCell ref="N3:P3"/>
    <mergeCell ref="Q3:S3"/>
  </mergeCells>
  <printOptions horizontalCentered="1" verticalCentered="1"/>
  <pageMargins left="0.75" right="0.75" top="1" bottom="1" header="0.5" footer="0.5"/>
  <pageSetup fitToHeight="1" fitToWidth="1" horizontalDpi="600" verticalDpi="600" orientation="landscape" paperSize="5" scale="83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workbookViewId="0" topLeftCell="A2">
      <selection activeCell="A3" sqref="A3"/>
    </sheetView>
  </sheetViews>
  <sheetFormatPr defaultColWidth="9.140625" defaultRowHeight="12.75"/>
  <cols>
    <col min="1" max="1" width="14.421875" style="0" customWidth="1"/>
    <col min="2" max="2" width="7.57421875" style="0" customWidth="1"/>
    <col min="3" max="3" width="7.57421875" style="0" bestFit="1" customWidth="1"/>
    <col min="4" max="4" width="9.8515625" style="0" bestFit="1" customWidth="1"/>
    <col min="5" max="5" width="7.57421875" style="0" customWidth="1"/>
    <col min="6" max="6" width="7.57421875" style="0" bestFit="1" customWidth="1"/>
    <col min="7" max="7" width="11.140625" style="0" bestFit="1" customWidth="1"/>
    <col min="8" max="8" width="7.57421875" style="0" customWidth="1"/>
    <col min="9" max="9" width="7.57421875" style="0" bestFit="1" customWidth="1"/>
    <col min="10" max="10" width="11.140625" style="0" bestFit="1" customWidth="1"/>
    <col min="11" max="11" width="7.57421875" style="0" customWidth="1"/>
    <col min="12" max="12" width="7.57421875" style="0" bestFit="1" customWidth="1"/>
    <col min="13" max="13" width="11.140625" style="0" bestFit="1" customWidth="1"/>
    <col min="14" max="14" width="7.57421875" style="0" customWidth="1"/>
    <col min="15" max="15" width="7.57421875" style="0" bestFit="1" customWidth="1"/>
    <col min="16" max="16" width="11.140625" style="0" bestFit="1" customWidth="1"/>
    <col min="17" max="17" width="7.57421875" style="0" customWidth="1"/>
    <col min="18" max="18" width="7.57421875" style="0" bestFit="1" customWidth="1"/>
    <col min="19" max="19" width="11.140625" style="0" bestFit="1" customWidth="1"/>
    <col min="20" max="20" width="12.57421875" style="183" bestFit="1" customWidth="1"/>
  </cols>
  <sheetData>
    <row r="1" spans="1:28" s="19" customFormat="1" ht="29.25" customHeight="1" thickBot="1">
      <c r="A1" s="247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5"/>
      <c r="T1" s="179"/>
      <c r="U1" s="107"/>
      <c r="V1" s="107"/>
      <c r="W1" s="107"/>
      <c r="X1" s="108"/>
      <c r="Y1" s="109"/>
      <c r="Z1" s="109"/>
      <c r="AA1" s="109"/>
      <c r="AB1" s="109"/>
    </row>
    <row r="2" spans="1:20" s="49" customFormat="1" ht="26.25" customHeight="1" thickBot="1">
      <c r="A2" s="250" t="s">
        <v>37</v>
      </c>
      <c r="B2" s="251"/>
      <c r="C2" s="251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159"/>
      <c r="T2" s="180"/>
    </row>
    <row r="3" spans="1:20" s="54" customFormat="1" ht="53.25" customHeight="1">
      <c r="A3" s="103"/>
      <c r="B3" s="274" t="s">
        <v>20</v>
      </c>
      <c r="C3" s="272"/>
      <c r="D3" s="272"/>
      <c r="E3" s="254" t="s">
        <v>2</v>
      </c>
      <c r="F3" s="272"/>
      <c r="G3" s="281"/>
      <c r="H3" s="254" t="s">
        <v>6</v>
      </c>
      <c r="I3" s="272"/>
      <c r="J3" s="281"/>
      <c r="K3" s="254" t="s">
        <v>3</v>
      </c>
      <c r="L3" s="272"/>
      <c r="M3" s="281"/>
      <c r="N3" s="254" t="s">
        <v>4</v>
      </c>
      <c r="O3" s="272"/>
      <c r="P3" s="281"/>
      <c r="Q3" s="254" t="s">
        <v>5</v>
      </c>
      <c r="R3" s="272"/>
      <c r="S3" s="273"/>
      <c r="T3" s="181" t="s">
        <v>28</v>
      </c>
    </row>
    <row r="4" spans="1:20" ht="12.75">
      <c r="A4" s="136" t="s">
        <v>7</v>
      </c>
      <c r="B4" s="71" t="s">
        <v>17</v>
      </c>
      <c r="C4" s="11"/>
      <c r="D4" s="45" t="s">
        <v>26</v>
      </c>
      <c r="E4" s="71" t="s">
        <v>17</v>
      </c>
      <c r="F4" s="50"/>
      <c r="G4" s="45" t="s">
        <v>26</v>
      </c>
      <c r="H4" s="71" t="s">
        <v>17</v>
      </c>
      <c r="I4" s="50"/>
      <c r="J4" s="45" t="s">
        <v>26</v>
      </c>
      <c r="K4" s="71" t="s">
        <v>17</v>
      </c>
      <c r="L4" s="50"/>
      <c r="M4" s="45" t="s">
        <v>26</v>
      </c>
      <c r="N4" s="71" t="s">
        <v>17</v>
      </c>
      <c r="O4" s="50"/>
      <c r="P4" s="45" t="s">
        <v>26</v>
      </c>
      <c r="Q4" s="71" t="s">
        <v>17</v>
      </c>
      <c r="R4" s="50"/>
      <c r="S4" s="106" t="s">
        <v>26</v>
      </c>
      <c r="T4" s="182"/>
    </row>
    <row r="5" spans="1:20" ht="12.75">
      <c r="A5" s="135"/>
      <c r="B5" s="30">
        <v>0.563</v>
      </c>
      <c r="C5" s="50" t="s">
        <v>8</v>
      </c>
      <c r="D5" s="55">
        <v>73087</v>
      </c>
      <c r="E5" s="30">
        <v>1</v>
      </c>
      <c r="F5" s="50" t="s">
        <v>8</v>
      </c>
      <c r="G5" s="55">
        <v>135672</v>
      </c>
      <c r="H5" s="30">
        <v>1</v>
      </c>
      <c r="I5" s="50" t="s">
        <v>8</v>
      </c>
      <c r="J5" s="55">
        <v>141766</v>
      </c>
      <c r="K5" s="30">
        <v>1</v>
      </c>
      <c r="L5" s="50" t="s">
        <v>8</v>
      </c>
      <c r="M5" s="55">
        <v>147308</v>
      </c>
      <c r="N5" s="30">
        <v>1</v>
      </c>
      <c r="O5" s="50" t="s">
        <v>8</v>
      </c>
      <c r="P5" s="55">
        <v>153495</v>
      </c>
      <c r="Q5" s="30">
        <v>1</v>
      </c>
      <c r="R5" s="50" t="s">
        <v>8</v>
      </c>
      <c r="S5" s="57">
        <v>159942</v>
      </c>
      <c r="T5" s="182"/>
    </row>
    <row r="6" spans="1:20" ht="12.75">
      <c r="A6" s="135"/>
      <c r="B6" s="30">
        <v>0.518</v>
      </c>
      <c r="C6" s="50" t="s">
        <v>9</v>
      </c>
      <c r="D6" s="55">
        <v>56904</v>
      </c>
      <c r="E6" s="30">
        <v>1</v>
      </c>
      <c r="F6" s="50" t="s">
        <v>9</v>
      </c>
      <c r="G6" s="55">
        <v>114915</v>
      </c>
      <c r="H6" s="30">
        <v>1</v>
      </c>
      <c r="I6" s="50" t="s">
        <v>9</v>
      </c>
      <c r="J6" s="55">
        <v>120076</v>
      </c>
      <c r="K6" s="30">
        <v>1</v>
      </c>
      <c r="L6" s="50" t="s">
        <v>9</v>
      </c>
      <c r="M6" s="55">
        <v>147308</v>
      </c>
      <c r="N6" s="30">
        <v>1</v>
      </c>
      <c r="O6" s="50" t="s">
        <v>9</v>
      </c>
      <c r="P6" s="55">
        <v>153495</v>
      </c>
      <c r="Q6" s="30">
        <v>1</v>
      </c>
      <c r="R6" s="50" t="s">
        <v>9</v>
      </c>
      <c r="S6" s="57">
        <v>159942</v>
      </c>
      <c r="T6" s="182"/>
    </row>
    <row r="7" spans="1:19" ht="12.75">
      <c r="A7" s="135"/>
      <c r="B7" s="30">
        <f>0.338+0.338</f>
        <v>0.676</v>
      </c>
      <c r="C7" s="50" t="s">
        <v>10</v>
      </c>
      <c r="D7" s="55">
        <f>31224*2</f>
        <v>62448</v>
      </c>
      <c r="E7" s="30">
        <v>2</v>
      </c>
      <c r="F7" s="50" t="s">
        <v>10</v>
      </c>
      <c r="G7" s="55">
        <f>96634*2</f>
        <v>193268</v>
      </c>
      <c r="H7" s="30">
        <v>2</v>
      </c>
      <c r="I7" s="50" t="s">
        <v>10</v>
      </c>
      <c r="J7" s="55">
        <f>100974*2</f>
        <v>201948</v>
      </c>
      <c r="K7" s="30">
        <v>2</v>
      </c>
      <c r="L7" s="50" t="s">
        <v>10</v>
      </c>
      <c r="M7" s="55">
        <f>124770*2</f>
        <v>249540</v>
      </c>
      <c r="N7" s="30">
        <v>2</v>
      </c>
      <c r="O7" s="50" t="s">
        <v>10</v>
      </c>
      <c r="P7" s="55">
        <f>130011*2</f>
        <v>260022</v>
      </c>
      <c r="Q7" s="30">
        <v>2</v>
      </c>
      <c r="R7" s="50" t="s">
        <v>10</v>
      </c>
      <c r="S7" s="57">
        <f>135471*2</f>
        <v>270942</v>
      </c>
    </row>
    <row r="8" spans="1:19" ht="12.75">
      <c r="A8" s="135"/>
      <c r="B8" s="30">
        <v>0.236</v>
      </c>
      <c r="C8" s="50" t="s">
        <v>11</v>
      </c>
      <c r="D8" s="55">
        <v>18229</v>
      </c>
      <c r="E8" s="30">
        <v>0.75</v>
      </c>
      <c r="F8" s="50" t="s">
        <v>11</v>
      </c>
      <c r="G8" s="55">
        <v>60471</v>
      </c>
      <c r="H8" s="30">
        <v>0.75</v>
      </c>
      <c r="I8" s="50" t="s">
        <v>11</v>
      </c>
      <c r="J8" s="55">
        <v>63187</v>
      </c>
      <c r="K8" s="30">
        <v>0.75</v>
      </c>
      <c r="L8" s="50" t="s">
        <v>11</v>
      </c>
      <c r="M8" s="55">
        <v>65658</v>
      </c>
      <c r="N8" s="30">
        <v>0.75</v>
      </c>
      <c r="O8" s="50" t="s">
        <v>11</v>
      </c>
      <c r="P8" s="55">
        <v>68415</v>
      </c>
      <c r="Q8" s="30">
        <v>0.75</v>
      </c>
      <c r="R8" s="50" t="s">
        <v>11</v>
      </c>
      <c r="S8" s="57">
        <v>71289</v>
      </c>
    </row>
    <row r="9" spans="1:19" ht="12.75">
      <c r="A9" s="135"/>
      <c r="B9" s="71" t="s">
        <v>30</v>
      </c>
      <c r="C9" s="50"/>
      <c r="D9" s="55"/>
      <c r="E9" s="71" t="s">
        <v>30</v>
      </c>
      <c r="F9" s="50"/>
      <c r="G9" s="55"/>
      <c r="H9" s="71" t="s">
        <v>30</v>
      </c>
      <c r="I9" s="50"/>
      <c r="J9" s="55"/>
      <c r="K9" s="71" t="s">
        <v>30</v>
      </c>
      <c r="L9" s="50"/>
      <c r="M9" s="55"/>
      <c r="N9" s="71" t="s">
        <v>30</v>
      </c>
      <c r="O9" s="50"/>
      <c r="P9" s="55"/>
      <c r="Q9" s="71" t="s">
        <v>30</v>
      </c>
      <c r="R9" s="50"/>
      <c r="S9" s="57"/>
    </row>
    <row r="10" spans="1:19" ht="12.75">
      <c r="A10" s="135"/>
      <c r="B10" s="30">
        <v>0.473</v>
      </c>
      <c r="C10" s="50" t="s">
        <v>11</v>
      </c>
      <c r="D10" s="55">
        <v>36458</v>
      </c>
      <c r="E10" s="30">
        <v>1</v>
      </c>
      <c r="F10" s="50" t="s">
        <v>11</v>
      </c>
      <c r="G10" s="55">
        <v>80628</v>
      </c>
      <c r="H10" s="30">
        <v>1</v>
      </c>
      <c r="I10" s="50" t="s">
        <v>11</v>
      </c>
      <c r="J10" s="55">
        <v>84250</v>
      </c>
      <c r="K10" s="30">
        <v>1</v>
      </c>
      <c r="L10" s="50" t="s">
        <v>11</v>
      </c>
      <c r="M10" s="55">
        <v>87543</v>
      </c>
      <c r="N10" s="30">
        <v>1</v>
      </c>
      <c r="O10" s="50" t="s">
        <v>11</v>
      </c>
      <c r="P10" s="55">
        <v>91220</v>
      </c>
      <c r="Q10" s="30">
        <v>1</v>
      </c>
      <c r="R10" s="50" t="s">
        <v>11</v>
      </c>
      <c r="S10" s="57">
        <v>95051</v>
      </c>
    </row>
    <row r="11" spans="1:19" ht="12.75">
      <c r="A11" s="135"/>
      <c r="B11" s="46">
        <f>0.248+0.248+0.203</f>
        <v>0.6990000000000001</v>
      </c>
      <c r="C11" s="50" t="s">
        <v>12</v>
      </c>
      <c r="D11" s="55">
        <f>16239+15766+12973</f>
        <v>44978</v>
      </c>
      <c r="E11" s="30">
        <v>3</v>
      </c>
      <c r="F11" s="50" t="s">
        <v>12</v>
      </c>
      <c r="G11" s="55">
        <f>69314+67295+67681</f>
        <v>204290</v>
      </c>
      <c r="H11" s="30">
        <v>3</v>
      </c>
      <c r="I11" s="50" t="s">
        <v>12</v>
      </c>
      <c r="J11" s="55">
        <f>72427+70318+70721</f>
        <v>213466</v>
      </c>
      <c r="K11" s="30">
        <v>3</v>
      </c>
      <c r="L11" s="50" t="s">
        <v>12</v>
      </c>
      <c r="M11" s="55">
        <f>75259+73067+73485</f>
        <v>221811</v>
      </c>
      <c r="N11" s="30">
        <v>3</v>
      </c>
      <c r="O11" s="50" t="s">
        <v>12</v>
      </c>
      <c r="P11" s="55">
        <f>78419+76136+76572</f>
        <v>231127</v>
      </c>
      <c r="Q11" s="30">
        <v>3</v>
      </c>
      <c r="R11" s="50" t="s">
        <v>12</v>
      </c>
      <c r="S11" s="57">
        <f>81713+79333+79788</f>
        <v>240834</v>
      </c>
    </row>
    <row r="12" spans="1:19" ht="12.75">
      <c r="A12" s="135"/>
      <c r="B12" s="30">
        <f>0.293+0.282+0.248+0.248+0.18+0.18+0.18+0.18+0.18+0.18</f>
        <v>2.151</v>
      </c>
      <c r="C12" s="50" t="s">
        <v>13</v>
      </c>
      <c r="D12" s="55">
        <f>15259+14660+14395+12964+(9374*4)+9405+9656</f>
        <v>113835</v>
      </c>
      <c r="E12" s="30">
        <v>10</v>
      </c>
      <c r="F12" s="50" t="s">
        <v>13</v>
      </c>
      <c r="G12" s="55">
        <f>110066+27517+61462+55348+55033+55033+55033+55033+55215+28342</f>
        <v>558082</v>
      </c>
      <c r="H12" s="30">
        <v>10</v>
      </c>
      <c r="I12" s="50" t="s">
        <v>13</v>
      </c>
      <c r="J12" s="55">
        <f>112528+28132+62836+56586+(56264*4)+56450+28976</f>
        <v>570564</v>
      </c>
      <c r="K12" s="30">
        <v>11</v>
      </c>
      <c r="L12" s="50" t="s">
        <v>13</v>
      </c>
      <c r="M12" s="55">
        <f>112528+56264+94254+56586+(56264*4)+56450+28976</f>
        <v>630114</v>
      </c>
      <c r="N12" s="30">
        <v>11</v>
      </c>
      <c r="O12" s="50" t="s">
        <v>13</v>
      </c>
      <c r="P12" s="55">
        <f>112528+56264+94254+56586+(56264*4)+56450+28976</f>
        <v>630114</v>
      </c>
      <c r="Q12" s="30">
        <v>11.5</v>
      </c>
      <c r="R12" s="50" t="s">
        <v>13</v>
      </c>
      <c r="S12" s="57">
        <f>112528+56264+94254+56586+84396+(56264*3)+56450+28976</f>
        <v>658246</v>
      </c>
    </row>
    <row r="13" spans="1:19" ht="12.75">
      <c r="A13" s="135"/>
      <c r="B13" s="30">
        <v>0.113</v>
      </c>
      <c r="C13" s="50" t="s">
        <v>14</v>
      </c>
      <c r="D13" s="55">
        <v>5273</v>
      </c>
      <c r="E13" s="30">
        <v>1</v>
      </c>
      <c r="F13" s="50" t="s">
        <v>14</v>
      </c>
      <c r="G13" s="55">
        <v>49026</v>
      </c>
      <c r="H13" s="30">
        <v>1</v>
      </c>
      <c r="I13" s="50" t="s">
        <v>14</v>
      </c>
      <c r="J13" s="55">
        <v>50122</v>
      </c>
      <c r="K13" s="30">
        <v>1</v>
      </c>
      <c r="L13" s="50" t="s">
        <v>14</v>
      </c>
      <c r="M13" s="55">
        <v>50122</v>
      </c>
      <c r="N13" s="30">
        <v>1</v>
      </c>
      <c r="O13" s="50" t="s">
        <v>14</v>
      </c>
      <c r="P13" s="55">
        <v>50122</v>
      </c>
      <c r="Q13" s="30">
        <v>1</v>
      </c>
      <c r="R13" s="50" t="s">
        <v>14</v>
      </c>
      <c r="S13" s="57">
        <v>50122</v>
      </c>
    </row>
    <row r="14" spans="1:19" ht="12.75">
      <c r="A14" s="135"/>
      <c r="B14" s="71" t="s">
        <v>18</v>
      </c>
      <c r="C14" s="50"/>
      <c r="D14" s="55"/>
      <c r="E14" s="71" t="s">
        <v>18</v>
      </c>
      <c r="F14" s="50"/>
      <c r="G14" s="55"/>
      <c r="H14" s="71" t="s">
        <v>18</v>
      </c>
      <c r="I14" s="50"/>
      <c r="J14" s="55"/>
      <c r="K14" s="71" t="s">
        <v>18</v>
      </c>
      <c r="L14" s="50"/>
      <c r="M14" s="55"/>
      <c r="N14" s="71" t="s">
        <v>18</v>
      </c>
      <c r="O14" s="50"/>
      <c r="P14" s="55"/>
      <c r="Q14" s="71" t="s">
        <v>18</v>
      </c>
      <c r="R14" s="50"/>
      <c r="S14" s="57"/>
    </row>
    <row r="15" spans="1:19" ht="12.75">
      <c r="A15" s="135"/>
      <c r="B15" s="30">
        <v>0.473</v>
      </c>
      <c r="C15" s="50" t="s">
        <v>15</v>
      </c>
      <c r="D15" s="55">
        <v>51961</v>
      </c>
      <c r="E15" s="30">
        <v>1</v>
      </c>
      <c r="F15" s="50" t="s">
        <v>15</v>
      </c>
      <c r="G15" s="55">
        <v>114915</v>
      </c>
      <c r="H15" s="30">
        <v>1</v>
      </c>
      <c r="I15" s="50" t="s">
        <v>15</v>
      </c>
      <c r="J15" s="55">
        <v>120076</v>
      </c>
      <c r="K15" s="30">
        <v>1</v>
      </c>
      <c r="L15" s="50" t="s">
        <v>15</v>
      </c>
      <c r="M15" s="55">
        <v>124770</v>
      </c>
      <c r="N15" s="30">
        <v>1</v>
      </c>
      <c r="O15" s="50" t="s">
        <v>15</v>
      </c>
      <c r="P15" s="55">
        <v>130011</v>
      </c>
      <c r="Q15" s="30">
        <v>1</v>
      </c>
      <c r="R15" s="50" t="s">
        <v>15</v>
      </c>
      <c r="S15" s="57">
        <v>135471</v>
      </c>
    </row>
    <row r="16" spans="1:19" ht="12.75">
      <c r="A16" s="135"/>
      <c r="B16" s="30">
        <v>0.676</v>
      </c>
      <c r="C16" s="50" t="s">
        <v>16</v>
      </c>
      <c r="D16" s="55">
        <v>62402</v>
      </c>
      <c r="E16" s="30">
        <v>3</v>
      </c>
      <c r="F16" s="50" t="s">
        <v>16</v>
      </c>
      <c r="G16" s="55">
        <v>289901</v>
      </c>
      <c r="H16" s="30">
        <v>3</v>
      </c>
      <c r="I16" s="43" t="s">
        <v>16</v>
      </c>
      <c r="J16" s="55">
        <v>302923</v>
      </c>
      <c r="K16" s="30">
        <v>3</v>
      </c>
      <c r="L16" s="50" t="s">
        <v>16</v>
      </c>
      <c r="M16" s="55">
        <v>314764</v>
      </c>
      <c r="N16" s="30">
        <v>3</v>
      </c>
      <c r="O16" s="50" t="s">
        <v>16</v>
      </c>
      <c r="P16" s="55">
        <v>327985</v>
      </c>
      <c r="Q16" s="30">
        <v>3</v>
      </c>
      <c r="R16" s="50" t="s">
        <v>16</v>
      </c>
      <c r="S16" s="57">
        <v>341760</v>
      </c>
    </row>
    <row r="17" spans="1:19" ht="12.75">
      <c r="A17" s="135"/>
      <c r="B17" s="30">
        <v>0.45</v>
      </c>
      <c r="C17" s="50" t="s">
        <v>11</v>
      </c>
      <c r="D17" s="55">
        <v>34723</v>
      </c>
      <c r="E17" s="30">
        <v>2</v>
      </c>
      <c r="F17" s="50" t="s">
        <v>11</v>
      </c>
      <c r="G17" s="55">
        <v>161257</v>
      </c>
      <c r="H17" s="30">
        <v>2</v>
      </c>
      <c r="I17" s="50" t="s">
        <v>11</v>
      </c>
      <c r="J17" s="55">
        <v>168500</v>
      </c>
      <c r="K17" s="30">
        <v>2</v>
      </c>
      <c r="L17" s="50" t="s">
        <v>11</v>
      </c>
      <c r="M17" s="55">
        <v>175087</v>
      </c>
      <c r="N17" s="30">
        <v>2</v>
      </c>
      <c r="O17" s="50" t="s">
        <v>11</v>
      </c>
      <c r="P17" s="55">
        <v>182440</v>
      </c>
      <c r="Q17" s="30">
        <v>3</v>
      </c>
      <c r="R17" s="50" t="s">
        <v>11</v>
      </c>
      <c r="S17" s="57">
        <v>285154</v>
      </c>
    </row>
    <row r="18" spans="1:19" ht="12.75">
      <c r="A18" s="135"/>
      <c r="B18" s="30">
        <v>0.36</v>
      </c>
      <c r="C18" s="50" t="s">
        <v>12</v>
      </c>
      <c r="D18" s="55">
        <v>22965</v>
      </c>
      <c r="E18" s="30">
        <v>2</v>
      </c>
      <c r="F18" s="50" t="s">
        <v>12</v>
      </c>
      <c r="G18" s="55">
        <v>133273</v>
      </c>
      <c r="H18" s="30">
        <v>2</v>
      </c>
      <c r="I18" s="50" t="s">
        <v>12</v>
      </c>
      <c r="J18" s="55">
        <v>139259</v>
      </c>
      <c r="K18" s="30">
        <v>2</v>
      </c>
      <c r="L18" s="50" t="s">
        <v>12</v>
      </c>
      <c r="M18" s="55">
        <v>144703</v>
      </c>
      <c r="N18" s="30">
        <v>3</v>
      </c>
      <c r="O18" s="50" t="s">
        <v>12</v>
      </c>
      <c r="P18" s="55">
        <v>226171</v>
      </c>
      <c r="Q18" s="30">
        <v>3</v>
      </c>
      <c r="R18" s="50" t="s">
        <v>12</v>
      </c>
      <c r="S18" s="57">
        <v>235670</v>
      </c>
    </row>
    <row r="19" spans="1:19" ht="12.75">
      <c r="A19" s="135"/>
      <c r="B19" s="30">
        <v>0.338</v>
      </c>
      <c r="C19" s="50" t="s">
        <v>13</v>
      </c>
      <c r="D19" s="55">
        <v>17603</v>
      </c>
      <c r="E19" s="30">
        <v>2</v>
      </c>
      <c r="F19" s="50" t="s">
        <v>13</v>
      </c>
      <c r="G19" s="55">
        <v>108957</v>
      </c>
      <c r="H19" s="30">
        <v>2</v>
      </c>
      <c r="I19" s="50" t="s">
        <v>13</v>
      </c>
      <c r="J19" s="55">
        <v>111394</v>
      </c>
      <c r="K19" s="30">
        <v>2</v>
      </c>
      <c r="L19" s="50" t="s">
        <v>13</v>
      </c>
      <c r="M19" s="55">
        <v>111394</v>
      </c>
      <c r="N19" s="30">
        <v>2</v>
      </c>
      <c r="O19" s="50" t="s">
        <v>13</v>
      </c>
      <c r="P19" s="55">
        <v>111394</v>
      </c>
      <c r="Q19" s="30">
        <v>2</v>
      </c>
      <c r="R19" s="50" t="s">
        <v>13</v>
      </c>
      <c r="S19" s="57">
        <v>111394</v>
      </c>
    </row>
    <row r="20" spans="1:20" s="130" customFormat="1" ht="13.5" thickBot="1">
      <c r="A20" s="140"/>
      <c r="B20" s="100">
        <v>0.113</v>
      </c>
      <c r="C20" s="5" t="s">
        <v>14</v>
      </c>
      <c r="D20" s="101">
        <v>5273</v>
      </c>
      <c r="E20" s="100">
        <v>1</v>
      </c>
      <c r="F20" s="5" t="s">
        <v>14</v>
      </c>
      <c r="G20" s="101">
        <v>49026</v>
      </c>
      <c r="H20" s="100">
        <v>1</v>
      </c>
      <c r="I20" s="5" t="s">
        <v>14</v>
      </c>
      <c r="J20" s="101">
        <v>50122</v>
      </c>
      <c r="K20" s="100">
        <v>1</v>
      </c>
      <c r="L20" s="5" t="s">
        <v>14</v>
      </c>
      <c r="M20" s="101">
        <v>50122</v>
      </c>
      <c r="N20" s="100">
        <v>1</v>
      </c>
      <c r="O20" s="5" t="s">
        <v>14</v>
      </c>
      <c r="P20" s="101">
        <v>50122</v>
      </c>
      <c r="Q20" s="100">
        <v>1</v>
      </c>
      <c r="R20" s="5" t="s">
        <v>14</v>
      </c>
      <c r="S20" s="102">
        <v>50122</v>
      </c>
      <c r="T20" s="184"/>
    </row>
    <row r="21" spans="1:20" ht="12.75">
      <c r="A21" s="136" t="s">
        <v>19</v>
      </c>
      <c r="B21" s="39">
        <f>SUM(B5:B20)</f>
        <v>7.839000000000001</v>
      </c>
      <c r="C21" s="96"/>
      <c r="D21" s="56">
        <f>SUM(D5:D20)</f>
        <v>606139</v>
      </c>
      <c r="E21" s="39">
        <f>SUM(E5:E20)</f>
        <v>30.75</v>
      </c>
      <c r="F21" s="96"/>
      <c r="G21" s="56">
        <f>SUM(G5:G20)</f>
        <v>2253681</v>
      </c>
      <c r="H21" s="39">
        <f>SUM(H5:H20)</f>
        <v>30.75</v>
      </c>
      <c r="I21" s="96"/>
      <c r="J21" s="56">
        <f>SUM(J5:J20)</f>
        <v>2337653</v>
      </c>
      <c r="K21" s="39">
        <f>SUM(K5:K20)</f>
        <v>31.75</v>
      </c>
      <c r="L21" s="96"/>
      <c r="M21" s="56">
        <f>SUM(M5:M20)</f>
        <v>2520244</v>
      </c>
      <c r="N21" s="39">
        <f>SUM(N5:N20)</f>
        <v>32.75</v>
      </c>
      <c r="O21" s="96"/>
      <c r="P21" s="56">
        <f>SUM(P5:P20)</f>
        <v>2666133</v>
      </c>
      <c r="Q21" s="39">
        <f>SUM(Q5:Q20)</f>
        <v>34.25</v>
      </c>
      <c r="R21" s="96"/>
      <c r="S21" s="58">
        <f>SUM(S5:S20)</f>
        <v>2865939</v>
      </c>
      <c r="T21" s="185">
        <f>SUM(D21+G21+J21+M21+P21+S21)</f>
        <v>13249789</v>
      </c>
    </row>
    <row r="22" spans="1:19" ht="12.75">
      <c r="A22" s="135"/>
      <c r="B22" s="129"/>
      <c r="C22" s="95"/>
      <c r="D22" s="158"/>
      <c r="E22" s="47"/>
      <c r="F22" s="48"/>
      <c r="G22" s="128"/>
      <c r="H22" s="129"/>
      <c r="I22" s="95"/>
      <c r="J22" s="128"/>
      <c r="K22" s="129"/>
      <c r="L22" s="95"/>
      <c r="M22" s="128"/>
      <c r="N22" s="47"/>
      <c r="O22" s="48"/>
      <c r="P22" s="128"/>
      <c r="Q22" s="47"/>
      <c r="R22" s="48"/>
      <c r="S22" s="132"/>
    </row>
    <row r="23" spans="1:20" s="138" customFormat="1" ht="51.75" thickBot="1">
      <c r="A23" s="137" t="s">
        <v>24</v>
      </c>
      <c r="B23" s="59">
        <v>1</v>
      </c>
      <c r="C23" s="93"/>
      <c r="D23" s="61">
        <v>152829.6</v>
      </c>
      <c r="E23" s="59">
        <v>9.3</v>
      </c>
      <c r="G23" s="61">
        <v>489253.2</v>
      </c>
      <c r="H23" s="59">
        <v>9.8</v>
      </c>
      <c r="I23" s="93"/>
      <c r="J23" s="61">
        <v>516246.48</v>
      </c>
      <c r="K23" s="59">
        <v>10.4</v>
      </c>
      <c r="L23" s="93"/>
      <c r="M23" s="61">
        <v>549988.08</v>
      </c>
      <c r="N23" s="59">
        <v>11.1</v>
      </c>
      <c r="P23" s="61">
        <v>583729.68</v>
      </c>
      <c r="Q23" s="59">
        <v>11.7</v>
      </c>
      <c r="S23" s="62">
        <v>617471.28</v>
      </c>
      <c r="T23" s="186">
        <f>SUM(D23+G23+J23+M23+P23+S23)</f>
        <v>2909518.3200000003</v>
      </c>
    </row>
    <row r="24" spans="1:20" s="141" customFormat="1" ht="12.75">
      <c r="A24" s="142"/>
      <c r="B24" s="213"/>
      <c r="C24" s="214"/>
      <c r="D24" s="215"/>
      <c r="E24" s="213"/>
      <c r="F24" s="214"/>
      <c r="G24" s="216"/>
      <c r="H24" s="213"/>
      <c r="I24" s="214"/>
      <c r="J24" s="216"/>
      <c r="K24" s="213"/>
      <c r="L24" s="214"/>
      <c r="M24" s="216"/>
      <c r="N24" s="213"/>
      <c r="O24" s="214"/>
      <c r="P24" s="216"/>
      <c r="Q24" s="213"/>
      <c r="R24" s="214"/>
      <c r="S24" s="217"/>
      <c r="T24" s="187"/>
    </row>
    <row r="25" spans="1:20" s="141" customFormat="1" ht="13.5" thickBot="1">
      <c r="A25" s="143" t="s">
        <v>25</v>
      </c>
      <c r="B25" s="80">
        <f>SUM(B21:B24)</f>
        <v>8.839000000000002</v>
      </c>
      <c r="C25" s="218"/>
      <c r="D25" s="82">
        <f>D23+D21</f>
        <v>758968.6</v>
      </c>
      <c r="E25" s="80">
        <f>SUM(E21:E24)</f>
        <v>40.05</v>
      </c>
      <c r="F25" s="218"/>
      <c r="G25" s="82">
        <f>G23+G21</f>
        <v>2742934.2</v>
      </c>
      <c r="H25" s="80">
        <f>SUM(H21:H24)</f>
        <v>40.55</v>
      </c>
      <c r="I25" s="218"/>
      <c r="J25" s="82">
        <f>J23+J21</f>
        <v>2853899.48</v>
      </c>
      <c r="K25" s="80">
        <f>SUM(K21:K24)</f>
        <v>42.15</v>
      </c>
      <c r="L25" s="218"/>
      <c r="M25" s="82">
        <f>M23+M21</f>
        <v>3070232.08</v>
      </c>
      <c r="N25" s="80">
        <f>SUM(N21:N24)</f>
        <v>43.85</v>
      </c>
      <c r="O25" s="218"/>
      <c r="P25" s="82">
        <f>P23+P21</f>
        <v>3249862.68</v>
      </c>
      <c r="Q25" s="80">
        <f>SUM(Q21:Q24)</f>
        <v>45.95</v>
      </c>
      <c r="R25" s="218"/>
      <c r="S25" s="83">
        <f>S23+S21</f>
        <v>3483410.2800000003</v>
      </c>
      <c r="T25" s="188">
        <f>SUM(T21:T23)</f>
        <v>16159307.32</v>
      </c>
    </row>
    <row r="26" ht="13.5" customHeight="1">
      <c r="T26" s="38"/>
    </row>
    <row r="27" spans="1:20" s="118" customFormat="1" ht="12.75">
      <c r="A27" s="118" t="s">
        <v>22</v>
      </c>
      <c r="T27" s="38"/>
    </row>
    <row r="28" ht="12.75">
      <c r="T28" s="38"/>
    </row>
    <row r="29" ht="12.75">
      <c r="T29" s="38"/>
    </row>
    <row r="30" ht="12.75">
      <c r="T30" s="38"/>
    </row>
    <row r="31" ht="12.75">
      <c r="T31" s="38"/>
    </row>
    <row r="32" ht="12.75">
      <c r="T32" s="38"/>
    </row>
    <row r="33" ht="12.75">
      <c r="T33" s="38"/>
    </row>
    <row r="34" ht="12.75">
      <c r="T34" s="38"/>
    </row>
    <row r="35" ht="12.75">
      <c r="T35" s="38"/>
    </row>
    <row r="36" ht="12.75">
      <c r="T36" s="38"/>
    </row>
    <row r="37" ht="12.75">
      <c r="T37" s="38"/>
    </row>
    <row r="38" ht="12.75">
      <c r="T38" s="38"/>
    </row>
    <row r="39" ht="12.75">
      <c r="T39" s="38"/>
    </row>
    <row r="40" ht="12.75">
      <c r="T40" s="38"/>
    </row>
    <row r="41" ht="12.75">
      <c r="T41" s="38"/>
    </row>
    <row r="42" ht="12.75">
      <c r="T42" s="38"/>
    </row>
    <row r="43" ht="12.75">
      <c r="T43" s="38"/>
    </row>
    <row r="44" ht="12.75">
      <c r="T44" s="38"/>
    </row>
    <row r="45" ht="12.75">
      <c r="T45" s="38"/>
    </row>
    <row r="46" ht="12.75">
      <c r="T46" s="38"/>
    </row>
    <row r="47" ht="12.75">
      <c r="T47" s="38"/>
    </row>
    <row r="48" ht="12.75">
      <c r="T48" s="38"/>
    </row>
    <row r="49" ht="12.75">
      <c r="T49" s="38"/>
    </row>
    <row r="50" ht="12.75">
      <c r="T50" s="38"/>
    </row>
    <row r="51" ht="12.75">
      <c r="T51" s="38"/>
    </row>
    <row r="52" ht="12.75">
      <c r="T52" s="38"/>
    </row>
  </sheetData>
  <mergeCells count="8">
    <mergeCell ref="A1:S1"/>
    <mergeCell ref="E3:G3"/>
    <mergeCell ref="B3:D3"/>
    <mergeCell ref="Q3:S3"/>
    <mergeCell ref="N3:P3"/>
    <mergeCell ref="K3:M3"/>
    <mergeCell ref="H3:J3"/>
    <mergeCell ref="A2:R2"/>
  </mergeCells>
  <printOptions horizontalCentered="1" verticalCentered="1"/>
  <pageMargins left="0.75" right="0.75" top="1" bottom="1" header="0.5" footer="0.5"/>
  <pageSetup fitToHeight="1" fitToWidth="1" horizontalDpi="600" verticalDpi="600" orientation="landscape" paperSize="5" scale="8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 King and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M. King</dc:creator>
  <cp:keywords/>
  <dc:description/>
  <cp:lastModifiedBy>Preferred User</cp:lastModifiedBy>
  <cp:lastPrinted>2006-02-15T14:48:30Z</cp:lastPrinted>
  <dcterms:created xsi:type="dcterms:W3CDTF">2005-10-02T15:45:59Z</dcterms:created>
  <dcterms:modified xsi:type="dcterms:W3CDTF">2006-02-15T14:49:20Z</dcterms:modified>
  <cp:category/>
  <cp:version/>
  <cp:contentType/>
  <cp:contentStatus/>
</cp:coreProperties>
</file>